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8\ADMINISTRATIVA Y FINANCIERA\2018\PRESUPUESTO\"/>
    </mc:Choice>
  </mc:AlternateContent>
  <bookViews>
    <workbookView xWindow="480" yWindow="255" windowWidth="15600" windowHeight="7620" tabRatio="810" firstSheet="2" activeTab="2"/>
  </bookViews>
  <sheets>
    <sheet name="PAC INICIAL 2018" sheetId="13" state="hidden" r:id="rId1"/>
    <sheet name="LIBRO DE PRESUPUESTO" sheetId="15" state="hidden" r:id="rId2"/>
    <sheet name="MARZO" sheetId="17" r:id="rId3"/>
    <sheet name="FEBRERO" sheetId="16" state="hidden" r:id="rId4"/>
    <sheet name="ENERO" sheetId="9" state="hidden" r:id="rId5"/>
  </sheets>
  <definedNames>
    <definedName name="_xlnm._FilterDatabase" localSheetId="1" hidden="1">'LIBRO DE PRESUPUESTO'!$A$186:$K$221</definedName>
  </definedNames>
  <calcPr calcId="162913"/>
</workbook>
</file>

<file path=xl/calcChain.xml><?xml version="1.0" encoding="utf-8"?>
<calcChain xmlns="http://schemas.openxmlformats.org/spreadsheetml/2006/main">
  <c r="J11" i="9" l="1"/>
  <c r="J470" i="15" l="1"/>
  <c r="J423" i="15"/>
  <c r="N201" i="15" l="1"/>
  <c r="E127" i="15" l="1"/>
  <c r="G127" i="15"/>
  <c r="I128" i="15"/>
  <c r="H127" i="15"/>
  <c r="K383" i="15"/>
  <c r="I383" i="15"/>
  <c r="I382" i="15" s="1"/>
  <c r="E383" i="15"/>
  <c r="F383" i="15"/>
  <c r="G383" i="15"/>
  <c r="G382" i="15" s="1"/>
  <c r="H383" i="15"/>
  <c r="H382" i="15" s="1"/>
  <c r="J383" i="15"/>
  <c r="J382" i="15" s="1"/>
  <c r="G379" i="15"/>
  <c r="K382" i="15" l="1"/>
  <c r="J59" i="17" l="1"/>
  <c r="J58" i="17"/>
  <c r="J57" i="17"/>
  <c r="J56" i="17"/>
  <c r="J55" i="17"/>
  <c r="J53" i="17"/>
  <c r="E28" i="17"/>
  <c r="J33" i="17"/>
  <c r="J36" i="17"/>
  <c r="K36" i="17" s="1"/>
  <c r="F36" i="17"/>
  <c r="H36" i="17" s="1"/>
  <c r="J32" i="17"/>
  <c r="J31" i="17"/>
  <c r="J29" i="17"/>
  <c r="J28" i="17"/>
  <c r="J12" i="17"/>
  <c r="G9" i="17"/>
  <c r="H9" i="17" s="1"/>
  <c r="J9" i="17"/>
  <c r="I52" i="17"/>
  <c r="I60" i="17"/>
  <c r="I49" i="17"/>
  <c r="I46" i="17"/>
  <c r="K46" i="17" s="1"/>
  <c r="N46" i="17" s="1"/>
  <c r="O46" i="17" s="1"/>
  <c r="I34" i="17"/>
  <c r="I35" i="17"/>
  <c r="I36" i="17"/>
  <c r="I37" i="17"/>
  <c r="I38" i="17"/>
  <c r="M38" i="17" s="1"/>
  <c r="I39" i="17"/>
  <c r="I40" i="17"/>
  <c r="I41" i="17"/>
  <c r="I42" i="17"/>
  <c r="M42" i="17" s="1"/>
  <c r="I25" i="17"/>
  <c r="I26" i="17"/>
  <c r="I23" i="17"/>
  <c r="I20" i="17"/>
  <c r="I21" i="17"/>
  <c r="I10" i="17"/>
  <c r="I14" i="17"/>
  <c r="I16" i="17"/>
  <c r="I17" i="17"/>
  <c r="M17" i="17" s="1"/>
  <c r="N63" i="17"/>
  <c r="M63" i="17"/>
  <c r="H63" i="17"/>
  <c r="N62" i="17"/>
  <c r="N61" i="17" s="1"/>
  <c r="M62" i="17"/>
  <c r="H62" i="17"/>
  <c r="L61" i="17"/>
  <c r="K61" i="17"/>
  <c r="J61" i="17"/>
  <c r="I61" i="17"/>
  <c r="M61" i="17" s="1"/>
  <c r="H61" i="17"/>
  <c r="G61" i="17"/>
  <c r="F61" i="17"/>
  <c r="E61" i="17"/>
  <c r="D61" i="17"/>
  <c r="C61" i="17"/>
  <c r="M60" i="17"/>
  <c r="K60" i="17"/>
  <c r="H60" i="17"/>
  <c r="N60" i="17" s="1"/>
  <c r="H59" i="17"/>
  <c r="H58" i="17"/>
  <c r="H57" i="17"/>
  <c r="H56" i="17"/>
  <c r="H55" i="17"/>
  <c r="H54" i="17"/>
  <c r="H53" i="17"/>
  <c r="M52" i="17"/>
  <c r="K52" i="17"/>
  <c r="H52" i="17"/>
  <c r="H51" i="17"/>
  <c r="H50" i="17"/>
  <c r="G50" i="17"/>
  <c r="F50" i="17"/>
  <c r="E50" i="17"/>
  <c r="D50" i="17"/>
  <c r="D64" i="17" s="1"/>
  <c r="C50" i="17"/>
  <c r="M49" i="17"/>
  <c r="L49" i="17"/>
  <c r="K49" i="17"/>
  <c r="H49" i="17"/>
  <c r="H48" i="17"/>
  <c r="H47" i="17"/>
  <c r="H46" i="17"/>
  <c r="G45" i="17"/>
  <c r="F45" i="17"/>
  <c r="E45" i="17"/>
  <c r="D45" i="17"/>
  <c r="C45" i="17"/>
  <c r="M44" i="17"/>
  <c r="H44" i="17"/>
  <c r="J43" i="17"/>
  <c r="M43" i="17" s="1"/>
  <c r="I43" i="17"/>
  <c r="G43" i="17"/>
  <c r="F43" i="17"/>
  <c r="E43" i="17"/>
  <c r="D43" i="17"/>
  <c r="C43" i="17"/>
  <c r="K42" i="17"/>
  <c r="H42" i="17"/>
  <c r="M41" i="17"/>
  <c r="K41" i="17"/>
  <c r="H41" i="17"/>
  <c r="M40" i="17"/>
  <c r="H40" i="17"/>
  <c r="N39" i="17"/>
  <c r="O39" i="17" s="1"/>
  <c r="K39" i="17"/>
  <c r="L39" i="17" s="1"/>
  <c r="H39" i="17"/>
  <c r="K38" i="17"/>
  <c r="H38" i="17"/>
  <c r="L37" i="17"/>
  <c r="K37" i="17"/>
  <c r="N37" i="17" s="1"/>
  <c r="O37" i="17" s="1"/>
  <c r="M37" i="17"/>
  <c r="H37" i="17"/>
  <c r="M35" i="17"/>
  <c r="K35" i="17"/>
  <c r="H35" i="17"/>
  <c r="M34" i="17"/>
  <c r="H34" i="17"/>
  <c r="H33" i="17"/>
  <c r="C33" i="17"/>
  <c r="H32" i="17"/>
  <c r="C32" i="17"/>
  <c r="C31" i="17"/>
  <c r="H30" i="17"/>
  <c r="H29" i="17"/>
  <c r="H28" i="17"/>
  <c r="G27" i="17"/>
  <c r="E27" i="17"/>
  <c r="D27" i="17"/>
  <c r="M26" i="17"/>
  <c r="K26" i="17"/>
  <c r="H26" i="17"/>
  <c r="K25" i="17"/>
  <c r="N25" i="17" s="1"/>
  <c r="O25" i="17" s="1"/>
  <c r="M25" i="17"/>
  <c r="H25" i="17"/>
  <c r="H24" i="17"/>
  <c r="M23" i="17"/>
  <c r="K23" i="17"/>
  <c r="H23" i="17"/>
  <c r="N23" i="17" s="1"/>
  <c r="H22" i="17"/>
  <c r="G22" i="17"/>
  <c r="F22" i="17"/>
  <c r="E22" i="17"/>
  <c r="D22" i="17"/>
  <c r="C22" i="17"/>
  <c r="K21" i="17"/>
  <c r="M21" i="17"/>
  <c r="H21" i="17"/>
  <c r="N21" i="17" s="1"/>
  <c r="M20" i="17"/>
  <c r="K20" i="17"/>
  <c r="H20" i="17"/>
  <c r="H19" i="17"/>
  <c r="H18" i="17" s="1"/>
  <c r="C19" i="17"/>
  <c r="J18" i="17"/>
  <c r="G18" i="17"/>
  <c r="F18" i="17"/>
  <c r="E18" i="17"/>
  <c r="D18" i="17"/>
  <c r="C18" i="17"/>
  <c r="K17" i="17"/>
  <c r="N17" i="17" s="1"/>
  <c r="O17" i="17" s="1"/>
  <c r="H17" i="17"/>
  <c r="M16" i="17"/>
  <c r="H16" i="17"/>
  <c r="H15" i="17"/>
  <c r="M14" i="17"/>
  <c r="K14" i="17"/>
  <c r="H14" i="17"/>
  <c r="N14" i="17" s="1"/>
  <c r="O14" i="17" s="1"/>
  <c r="H13" i="17"/>
  <c r="H12" i="17"/>
  <c r="H11" i="17"/>
  <c r="H10" i="17"/>
  <c r="C9" i="17"/>
  <c r="C8" i="17" s="1"/>
  <c r="F8" i="17"/>
  <c r="E8" i="17"/>
  <c r="E64" i="17" s="1"/>
  <c r="D8" i="17"/>
  <c r="F27" i="17" l="1"/>
  <c r="G8" i="17"/>
  <c r="N52" i="17"/>
  <c r="M36" i="17"/>
  <c r="L36" i="17"/>
  <c r="N49" i="17"/>
  <c r="O49" i="17" s="1"/>
  <c r="M46" i="17"/>
  <c r="N38" i="17"/>
  <c r="O38" i="17" s="1"/>
  <c r="L25" i="17"/>
  <c r="N26" i="17"/>
  <c r="N20" i="17"/>
  <c r="N35" i="17"/>
  <c r="N41" i="17"/>
  <c r="N42" i="17"/>
  <c r="O42" i="17" s="1"/>
  <c r="H8" i="17"/>
  <c r="L14" i="17"/>
  <c r="K16" i="17"/>
  <c r="G64" i="17"/>
  <c r="H31" i="17"/>
  <c r="C27" i="17"/>
  <c r="C64" i="17" s="1"/>
  <c r="K34" i="17"/>
  <c r="L38" i="17"/>
  <c r="M39" i="17"/>
  <c r="K40" i="17"/>
  <c r="N44" i="17"/>
  <c r="O44" i="17" s="1"/>
  <c r="H43" i="17"/>
  <c r="L46" i="17"/>
  <c r="M10" i="17"/>
  <c r="K10" i="17"/>
  <c r="J27" i="17"/>
  <c r="F64" i="17"/>
  <c r="L17" i="17"/>
  <c r="J22" i="17"/>
  <c r="N36" i="17"/>
  <c r="O36" i="17" s="1"/>
  <c r="K43" i="17"/>
  <c r="H45" i="17"/>
  <c r="J469" i="15"/>
  <c r="J54" i="17" s="1"/>
  <c r="J50" i="17" s="1"/>
  <c r="J414" i="15"/>
  <c r="J47" i="17" s="1"/>
  <c r="J422" i="15"/>
  <c r="J48" i="17" s="1"/>
  <c r="J25" i="15"/>
  <c r="J11" i="17" s="1"/>
  <c r="J8" i="17" s="1"/>
  <c r="J45" i="17" l="1"/>
  <c r="N10" i="17"/>
  <c r="L16" i="17"/>
  <c r="N16" i="17"/>
  <c r="O16" i="17" s="1"/>
  <c r="N43" i="17"/>
  <c r="O43" i="17" s="1"/>
  <c r="H27" i="17"/>
  <c r="H64" i="17" s="1"/>
  <c r="L34" i="17"/>
  <c r="N34" i="17"/>
  <c r="O34" i="17" s="1"/>
  <c r="J64" i="17"/>
  <c r="L40" i="17"/>
  <c r="N40" i="17"/>
  <c r="O40" i="17" s="1"/>
  <c r="J32" i="16" l="1"/>
  <c r="J278" i="15" l="1"/>
  <c r="J59" i="16"/>
  <c r="J58" i="16"/>
  <c r="J57" i="16"/>
  <c r="J56" i="16"/>
  <c r="J55" i="16"/>
  <c r="J53" i="16"/>
  <c r="J51" i="16"/>
  <c r="I51" i="17" s="1"/>
  <c r="J33" i="16"/>
  <c r="J31" i="16"/>
  <c r="J29" i="16"/>
  <c r="J29" i="9"/>
  <c r="I29" i="16" s="1"/>
  <c r="J13" i="16"/>
  <c r="I13" i="17" s="1"/>
  <c r="J24" i="16"/>
  <c r="J11" i="16"/>
  <c r="J9" i="16"/>
  <c r="I52" i="16"/>
  <c r="I60" i="16"/>
  <c r="I51" i="16"/>
  <c r="I49" i="16"/>
  <c r="I46" i="16"/>
  <c r="M46" i="16" s="1"/>
  <c r="I34" i="16"/>
  <c r="K34" i="16" s="1"/>
  <c r="L34" i="16" s="1"/>
  <c r="I35" i="16"/>
  <c r="I36" i="16"/>
  <c r="M36" i="16" s="1"/>
  <c r="I37" i="16"/>
  <c r="I38" i="16"/>
  <c r="K38" i="16" s="1"/>
  <c r="L38" i="16" s="1"/>
  <c r="I39" i="16"/>
  <c r="I40" i="16"/>
  <c r="K40" i="16" s="1"/>
  <c r="L40" i="16" s="1"/>
  <c r="I41" i="16"/>
  <c r="I42" i="16"/>
  <c r="I25" i="16"/>
  <c r="I26" i="16"/>
  <c r="I23" i="16"/>
  <c r="I20" i="16"/>
  <c r="I21" i="16"/>
  <c r="I10" i="16"/>
  <c r="M10" i="16" s="1"/>
  <c r="I13" i="16"/>
  <c r="I14" i="16"/>
  <c r="K14" i="16" s="1"/>
  <c r="L14" i="16" s="1"/>
  <c r="I16" i="16"/>
  <c r="I17" i="16"/>
  <c r="D64" i="16"/>
  <c r="M63" i="16"/>
  <c r="H63" i="16"/>
  <c r="N63" i="16" s="1"/>
  <c r="M62" i="16"/>
  <c r="H62" i="16"/>
  <c r="N62" i="16" s="1"/>
  <c r="N61" i="16" s="1"/>
  <c r="L61" i="16"/>
  <c r="K61" i="16"/>
  <c r="J61" i="16"/>
  <c r="M61" i="16" s="1"/>
  <c r="I61" i="16"/>
  <c r="G61" i="16"/>
  <c r="F61" i="16"/>
  <c r="E61" i="16"/>
  <c r="D61" i="16"/>
  <c r="C61" i="16"/>
  <c r="K60" i="16"/>
  <c r="M60" i="16"/>
  <c r="H60" i="16"/>
  <c r="H59" i="16"/>
  <c r="H58" i="16"/>
  <c r="H57" i="16"/>
  <c r="H56" i="16"/>
  <c r="H55" i="16"/>
  <c r="H54" i="16"/>
  <c r="H53" i="16"/>
  <c r="K52" i="16"/>
  <c r="M52" i="16"/>
  <c r="H52" i="16"/>
  <c r="H50" i="16" s="1"/>
  <c r="H51" i="16"/>
  <c r="G50" i="16"/>
  <c r="F50" i="16"/>
  <c r="E50" i="16"/>
  <c r="D50" i="16"/>
  <c r="C50" i="16"/>
  <c r="H49" i="16"/>
  <c r="H48" i="16"/>
  <c r="H47" i="16"/>
  <c r="H46" i="16"/>
  <c r="G45" i="16"/>
  <c r="F45" i="16"/>
  <c r="E45" i="16"/>
  <c r="D45" i="16"/>
  <c r="C45" i="16"/>
  <c r="O44" i="16"/>
  <c r="M44" i="16"/>
  <c r="H44" i="16"/>
  <c r="N44" i="16" s="1"/>
  <c r="J43" i="16"/>
  <c r="M43" i="16" s="1"/>
  <c r="I43" i="16"/>
  <c r="H43" i="16"/>
  <c r="G43" i="16"/>
  <c r="F43" i="16"/>
  <c r="E43" i="16"/>
  <c r="D43" i="16"/>
  <c r="C43" i="16"/>
  <c r="H42" i="16"/>
  <c r="M41" i="16"/>
  <c r="K41" i="16"/>
  <c r="N41" i="16" s="1"/>
  <c r="H41" i="16"/>
  <c r="M40" i="16"/>
  <c r="H40" i="16"/>
  <c r="M39" i="16"/>
  <c r="K39" i="16"/>
  <c r="L39" i="16" s="1"/>
  <c r="H39" i="16"/>
  <c r="M38" i="16"/>
  <c r="H38" i="16"/>
  <c r="M37" i="16"/>
  <c r="K37" i="16"/>
  <c r="L37" i="16" s="1"/>
  <c r="H37" i="16"/>
  <c r="N37" i="16" s="1"/>
  <c r="O37" i="16" s="1"/>
  <c r="K36" i="16"/>
  <c r="L36" i="16" s="1"/>
  <c r="H36" i="16"/>
  <c r="M35" i="16"/>
  <c r="K35" i="16"/>
  <c r="N35" i="16" s="1"/>
  <c r="H35" i="16"/>
  <c r="M34" i="16"/>
  <c r="H34" i="16"/>
  <c r="C33" i="16"/>
  <c r="H33" i="16" s="1"/>
  <c r="C32" i="16"/>
  <c r="H32" i="16" s="1"/>
  <c r="C31" i="16"/>
  <c r="H30" i="16"/>
  <c r="H29" i="16"/>
  <c r="H28" i="16"/>
  <c r="G27" i="16"/>
  <c r="F27" i="16"/>
  <c r="E27" i="16"/>
  <c r="D27" i="16"/>
  <c r="M26" i="16"/>
  <c r="K26" i="16"/>
  <c r="H26" i="16"/>
  <c r="M25" i="16"/>
  <c r="K25" i="16"/>
  <c r="L25" i="16" s="1"/>
  <c r="H25" i="16"/>
  <c r="N25" i="16" s="1"/>
  <c r="O25" i="16" s="1"/>
  <c r="H24" i="16"/>
  <c r="K23" i="16"/>
  <c r="M23" i="16"/>
  <c r="H23" i="16"/>
  <c r="J22" i="16"/>
  <c r="H22" i="16"/>
  <c r="G22" i="16"/>
  <c r="F22" i="16"/>
  <c r="E22" i="16"/>
  <c r="D22" i="16"/>
  <c r="C22" i="16"/>
  <c r="K21" i="16"/>
  <c r="N21" i="16" s="1"/>
  <c r="M21" i="16"/>
  <c r="H21" i="16"/>
  <c r="H20" i="16"/>
  <c r="H19" i="16"/>
  <c r="C19" i="16"/>
  <c r="G18" i="16"/>
  <c r="F18" i="16"/>
  <c r="E18" i="16"/>
  <c r="D18" i="16"/>
  <c r="C18" i="16"/>
  <c r="H17" i="16"/>
  <c r="M16" i="16"/>
  <c r="K16" i="16"/>
  <c r="L16" i="16" s="1"/>
  <c r="H16" i="16"/>
  <c r="H15" i="16"/>
  <c r="H14" i="16"/>
  <c r="H13" i="16"/>
  <c r="H12" i="16"/>
  <c r="H11" i="16"/>
  <c r="H10" i="16"/>
  <c r="C9" i="16"/>
  <c r="G8" i="16"/>
  <c r="G64" i="16" s="1"/>
  <c r="F8" i="16"/>
  <c r="E8" i="16"/>
  <c r="E64" i="16" s="1"/>
  <c r="D8" i="16"/>
  <c r="K13" i="17" l="1"/>
  <c r="M13" i="17"/>
  <c r="I29" i="17"/>
  <c r="K51" i="17"/>
  <c r="M51" i="17"/>
  <c r="M29" i="16"/>
  <c r="K29" i="16"/>
  <c r="L29" i="16" s="1"/>
  <c r="N60" i="16"/>
  <c r="K46" i="16"/>
  <c r="N46" i="16" s="1"/>
  <c r="O46" i="16" s="1"/>
  <c r="N40" i="16"/>
  <c r="O40" i="16" s="1"/>
  <c r="N39" i="16"/>
  <c r="O39" i="16" s="1"/>
  <c r="N38" i="16"/>
  <c r="O38" i="16" s="1"/>
  <c r="N36" i="16"/>
  <c r="O36" i="16" s="1"/>
  <c r="N26" i="16"/>
  <c r="M14" i="16"/>
  <c r="F64" i="16"/>
  <c r="H18" i="16"/>
  <c r="M20" i="16"/>
  <c r="K20" i="16"/>
  <c r="C27" i="16"/>
  <c r="H31" i="16"/>
  <c r="M49" i="16"/>
  <c r="K49" i="16"/>
  <c r="C8" i="16"/>
  <c r="C64" i="16" s="1"/>
  <c r="H9" i="16"/>
  <c r="N14" i="16"/>
  <c r="O14" i="16" s="1"/>
  <c r="N23" i="16"/>
  <c r="N34" i="16"/>
  <c r="O34" i="16" s="1"/>
  <c r="L46" i="16"/>
  <c r="M13" i="16"/>
  <c r="K13" i="16"/>
  <c r="H45" i="16"/>
  <c r="N16" i="16"/>
  <c r="O16" i="16" s="1"/>
  <c r="M17" i="16"/>
  <c r="K17" i="16"/>
  <c r="J27" i="16"/>
  <c r="M42" i="16"/>
  <c r="K42" i="16"/>
  <c r="N42" i="16" s="1"/>
  <c r="O42" i="16" s="1"/>
  <c r="K43" i="16"/>
  <c r="N43" i="16" s="1"/>
  <c r="O43" i="16" s="1"/>
  <c r="M51" i="16"/>
  <c r="K51" i="16"/>
  <c r="J18" i="16"/>
  <c r="K10" i="16"/>
  <c r="N10" i="16" s="1"/>
  <c r="N52" i="16"/>
  <c r="H61" i="16"/>
  <c r="N29" i="16" l="1"/>
  <c r="O29" i="16" s="1"/>
  <c r="L51" i="17"/>
  <c r="N51" i="17"/>
  <c r="K29" i="17"/>
  <c r="M29" i="17"/>
  <c r="L13" i="17"/>
  <c r="N13" i="17"/>
  <c r="O13" i="17" s="1"/>
  <c r="L51" i="16"/>
  <c r="N51" i="16"/>
  <c r="N20" i="16"/>
  <c r="L49" i="16"/>
  <c r="N49" i="16"/>
  <c r="H27" i="16"/>
  <c r="L17" i="16"/>
  <c r="N17" i="16"/>
  <c r="O17" i="16" s="1"/>
  <c r="L13" i="16"/>
  <c r="N13" i="16"/>
  <c r="O13" i="16" s="1"/>
  <c r="H8" i="16"/>
  <c r="H64" i="16" s="1"/>
  <c r="J421" i="15"/>
  <c r="J48" i="16" s="1"/>
  <c r="J468" i="15"/>
  <c r="J54" i="16" s="1"/>
  <c r="J50" i="16" s="1"/>
  <c r="L29" i="17" l="1"/>
  <c r="N29" i="17"/>
  <c r="O29" i="17" s="1"/>
  <c r="O51" i="17"/>
  <c r="O51" i="16"/>
  <c r="O49" i="16"/>
  <c r="J413" i="15"/>
  <c r="J47" i="16" s="1"/>
  <c r="J45" i="16" s="1"/>
  <c r="J38" i="15"/>
  <c r="J12" i="16" s="1"/>
  <c r="J8" i="16" s="1"/>
  <c r="J64" i="16" l="1"/>
  <c r="O44" i="9"/>
  <c r="O43" i="9"/>
  <c r="J43" i="9"/>
  <c r="J59" i="9"/>
  <c r="I59" i="16" s="1"/>
  <c r="I59" i="17" s="1"/>
  <c r="J58" i="9"/>
  <c r="I58" i="16" s="1"/>
  <c r="I58" i="17" s="1"/>
  <c r="J57" i="9"/>
  <c r="I57" i="16" s="1"/>
  <c r="I57" i="17" s="1"/>
  <c r="J56" i="9"/>
  <c r="I56" i="16" s="1"/>
  <c r="I56" i="17" s="1"/>
  <c r="J55" i="9"/>
  <c r="I55" i="16" s="1"/>
  <c r="I55" i="17" s="1"/>
  <c r="J53" i="9"/>
  <c r="I53" i="16" s="1"/>
  <c r="I53" i="17" s="1"/>
  <c r="J33" i="9"/>
  <c r="I33" i="16" s="1"/>
  <c r="I33" i="17" s="1"/>
  <c r="J32" i="9"/>
  <c r="I32" i="16" s="1"/>
  <c r="I32" i="17" s="1"/>
  <c r="J31" i="9"/>
  <c r="I31" i="16" s="1"/>
  <c r="I31" i="17" s="1"/>
  <c r="J30" i="9"/>
  <c r="I30" i="16" s="1"/>
  <c r="I30" i="17" s="1"/>
  <c r="J28" i="9"/>
  <c r="I28" i="16" s="1"/>
  <c r="I28" i="17" s="1"/>
  <c r="J24" i="9"/>
  <c r="I24" i="16" s="1"/>
  <c r="I24" i="17" s="1"/>
  <c r="J15" i="9"/>
  <c r="I15" i="16" s="1"/>
  <c r="I15" i="17" s="1"/>
  <c r="J19" i="9"/>
  <c r="J12" i="9"/>
  <c r="I12" i="16" s="1"/>
  <c r="I12" i="17" s="1"/>
  <c r="I11" i="16"/>
  <c r="I11" i="17" s="1"/>
  <c r="J9" i="9"/>
  <c r="I9" i="16" s="1"/>
  <c r="I9" i="17" s="1"/>
  <c r="C64" i="9"/>
  <c r="M44" i="9"/>
  <c r="N44" i="9"/>
  <c r="I43" i="9"/>
  <c r="K43" i="9" s="1"/>
  <c r="N43" i="9" s="1"/>
  <c r="H44" i="9"/>
  <c r="H43" i="9" s="1"/>
  <c r="D43" i="9"/>
  <c r="E43" i="9"/>
  <c r="F43" i="9"/>
  <c r="G43" i="9"/>
  <c r="C43" i="9"/>
  <c r="C33" i="9"/>
  <c r="C32" i="9"/>
  <c r="C31" i="9"/>
  <c r="C19" i="9"/>
  <c r="C9" i="9"/>
  <c r="K12" i="17" l="1"/>
  <c r="M12" i="17"/>
  <c r="M28" i="17"/>
  <c r="I27" i="17"/>
  <c r="K28" i="17"/>
  <c r="M33" i="17"/>
  <c r="K33" i="17"/>
  <c r="M58" i="17"/>
  <c r="K58" i="17"/>
  <c r="K30" i="17"/>
  <c r="M30" i="17"/>
  <c r="M55" i="17"/>
  <c r="K55" i="17"/>
  <c r="M59" i="17"/>
  <c r="K59" i="17"/>
  <c r="M9" i="17"/>
  <c r="I8" i="17"/>
  <c r="M8" i="17" s="1"/>
  <c r="K9" i="17"/>
  <c r="K15" i="17"/>
  <c r="M15" i="17"/>
  <c r="M31" i="17"/>
  <c r="K31" i="17"/>
  <c r="M56" i="17"/>
  <c r="K56" i="17"/>
  <c r="M11" i="17"/>
  <c r="K11" i="17"/>
  <c r="K24" i="17"/>
  <c r="I22" i="17"/>
  <c r="M22" i="17" s="1"/>
  <c r="M24" i="17"/>
  <c r="K32" i="17"/>
  <c r="M32" i="17"/>
  <c r="M53" i="17"/>
  <c r="K53" i="17"/>
  <c r="M57" i="17"/>
  <c r="K57" i="17"/>
  <c r="K9" i="16"/>
  <c r="M9" i="16"/>
  <c r="I8" i="16"/>
  <c r="K15" i="16"/>
  <c r="M15" i="16"/>
  <c r="M56" i="16"/>
  <c r="K56" i="16"/>
  <c r="K11" i="16"/>
  <c r="M11" i="16"/>
  <c r="I22" i="16"/>
  <c r="M22" i="16" s="1"/>
  <c r="M24" i="16"/>
  <c r="K24" i="16"/>
  <c r="M32" i="16"/>
  <c r="K32" i="16"/>
  <c r="K53" i="16"/>
  <c r="M53" i="16"/>
  <c r="M57" i="16"/>
  <c r="K57" i="16"/>
  <c r="M12" i="16"/>
  <c r="K12" i="16"/>
  <c r="I27" i="16"/>
  <c r="M27" i="16" s="1"/>
  <c r="K28" i="16"/>
  <c r="M28" i="16"/>
  <c r="K33" i="16"/>
  <c r="M33" i="16"/>
  <c r="M58" i="16"/>
  <c r="K58" i="16"/>
  <c r="J18" i="9"/>
  <c r="I19" i="16"/>
  <c r="I19" i="17" s="1"/>
  <c r="K30" i="16"/>
  <c r="M30" i="16"/>
  <c r="M55" i="16"/>
  <c r="K55" i="16"/>
  <c r="K59" i="16"/>
  <c r="M59" i="16"/>
  <c r="K31" i="16"/>
  <c r="M31" i="16"/>
  <c r="M43" i="9"/>
  <c r="J560" i="15"/>
  <c r="G560" i="15"/>
  <c r="H560" i="15"/>
  <c r="F560" i="15"/>
  <c r="F550" i="15"/>
  <c r="J550" i="15" s="1"/>
  <c r="H550" i="15"/>
  <c r="G550" i="15"/>
  <c r="J540" i="15"/>
  <c r="G540" i="15"/>
  <c r="H540" i="15"/>
  <c r="F540" i="15"/>
  <c r="J521" i="15"/>
  <c r="G521" i="15"/>
  <c r="H521" i="15"/>
  <c r="F521" i="15"/>
  <c r="J507" i="15"/>
  <c r="G507" i="15"/>
  <c r="H507" i="15"/>
  <c r="F507" i="15"/>
  <c r="J491" i="15"/>
  <c r="G491" i="15"/>
  <c r="H491" i="15"/>
  <c r="F491" i="15"/>
  <c r="J478" i="15"/>
  <c r="G478" i="15"/>
  <c r="H478" i="15"/>
  <c r="F478" i="15"/>
  <c r="J467" i="15"/>
  <c r="J54" i="9" s="1"/>
  <c r="I54" i="16" s="1"/>
  <c r="I54" i="17" s="1"/>
  <c r="K54" i="17" s="1"/>
  <c r="J466" i="15"/>
  <c r="G466" i="15"/>
  <c r="H466" i="15"/>
  <c r="F466" i="15"/>
  <c r="J454" i="15"/>
  <c r="G454" i="15"/>
  <c r="H454" i="15"/>
  <c r="F454" i="15"/>
  <c r="J439" i="15"/>
  <c r="G439" i="15"/>
  <c r="H439" i="15"/>
  <c r="F439" i="15"/>
  <c r="J420" i="15"/>
  <c r="J48" i="9" s="1"/>
  <c r="I48" i="16" s="1"/>
  <c r="I48" i="17" s="1"/>
  <c r="K48" i="17" s="1"/>
  <c r="J412" i="15"/>
  <c r="J47" i="9" s="1"/>
  <c r="I47" i="16" s="1"/>
  <c r="I47" i="17" s="1"/>
  <c r="K47" i="17" s="1"/>
  <c r="M54" i="17" l="1"/>
  <c r="K54" i="16"/>
  <c r="L54" i="16" s="1"/>
  <c r="M47" i="16"/>
  <c r="K47" i="16"/>
  <c r="N47" i="16" s="1"/>
  <c r="M54" i="16"/>
  <c r="M47" i="17"/>
  <c r="I45" i="17"/>
  <c r="M45" i="17" s="1"/>
  <c r="I50" i="16"/>
  <c r="M50" i="16" s="1"/>
  <c r="M48" i="16"/>
  <c r="M48" i="17"/>
  <c r="I45" i="16"/>
  <c r="M45" i="16" s="1"/>
  <c r="K48" i="16"/>
  <c r="K45" i="16" s="1"/>
  <c r="L45" i="16" s="1"/>
  <c r="I50" i="17"/>
  <c r="M50" i="17" s="1"/>
  <c r="L53" i="17"/>
  <c r="N53" i="17"/>
  <c r="L48" i="17"/>
  <c r="N48" i="17"/>
  <c r="O48" i="17" s="1"/>
  <c r="L15" i="17"/>
  <c r="N15" i="17"/>
  <c r="O15" i="17" s="1"/>
  <c r="N59" i="17"/>
  <c r="O59" i="17" s="1"/>
  <c r="L59" i="17"/>
  <c r="L54" i="17"/>
  <c r="N54" i="17"/>
  <c r="O54" i="17" s="1"/>
  <c r="L28" i="17"/>
  <c r="K27" i="17"/>
  <c r="L27" i="17" s="1"/>
  <c r="N28" i="17"/>
  <c r="N12" i="17"/>
  <c r="O12" i="17" s="1"/>
  <c r="L12" i="17"/>
  <c r="I18" i="17"/>
  <c r="M18" i="17" s="1"/>
  <c r="M19" i="17"/>
  <c r="K19" i="17"/>
  <c r="L56" i="17"/>
  <c r="N56" i="17"/>
  <c r="O56" i="17" s="1"/>
  <c r="N31" i="17"/>
  <c r="O31" i="17" s="1"/>
  <c r="L31" i="17"/>
  <c r="L9" i="17"/>
  <c r="N9" i="17"/>
  <c r="K8" i="17"/>
  <c r="L8" i="17" s="1"/>
  <c r="N30" i="17"/>
  <c r="O30" i="17" s="1"/>
  <c r="L30" i="17"/>
  <c r="M27" i="17"/>
  <c r="N57" i="17"/>
  <c r="O57" i="17" s="1"/>
  <c r="L57" i="17"/>
  <c r="L24" i="17"/>
  <c r="K22" i="17"/>
  <c r="L22" i="17" s="1"/>
  <c r="N24" i="17"/>
  <c r="N55" i="17"/>
  <c r="O55" i="17" s="1"/>
  <c r="L55" i="17"/>
  <c r="N58" i="17"/>
  <c r="O58" i="17" s="1"/>
  <c r="L58" i="17"/>
  <c r="L33" i="17"/>
  <c r="N33" i="17"/>
  <c r="L32" i="17"/>
  <c r="N32" i="17"/>
  <c r="O32" i="17" s="1"/>
  <c r="N11" i="17"/>
  <c r="O11" i="17" s="1"/>
  <c r="L11" i="17"/>
  <c r="L47" i="17"/>
  <c r="N47" i="17"/>
  <c r="K45" i="17"/>
  <c r="L45" i="17" s="1"/>
  <c r="N55" i="16"/>
  <c r="O55" i="16" s="1"/>
  <c r="L55" i="16"/>
  <c r="M19" i="16"/>
  <c r="K19" i="16"/>
  <c r="I18" i="16"/>
  <c r="M18" i="16" s="1"/>
  <c r="N54" i="16"/>
  <c r="O54" i="16" s="1"/>
  <c r="L53" i="16"/>
  <c r="N53" i="16"/>
  <c r="N56" i="16"/>
  <c r="O56" i="16" s="1"/>
  <c r="L56" i="16"/>
  <c r="N9" i="16"/>
  <c r="K8" i="16"/>
  <c r="L8" i="16" s="1"/>
  <c r="L9" i="16"/>
  <c r="N31" i="16"/>
  <c r="O31" i="16" s="1"/>
  <c r="L31" i="16"/>
  <c r="N28" i="16"/>
  <c r="L28" i="16"/>
  <c r="K27" i="16"/>
  <c r="L27" i="16" s="1"/>
  <c r="L57" i="16"/>
  <c r="N57" i="16"/>
  <c r="O57" i="16" s="1"/>
  <c r="L32" i="16"/>
  <c r="N32" i="16"/>
  <c r="O32" i="16" s="1"/>
  <c r="L15" i="16"/>
  <c r="N15" i="16"/>
  <c r="O15" i="16" s="1"/>
  <c r="L58" i="16"/>
  <c r="N58" i="16"/>
  <c r="O58" i="16" s="1"/>
  <c r="M8" i="16"/>
  <c r="N59" i="16"/>
  <c r="O59" i="16" s="1"/>
  <c r="L59" i="16"/>
  <c r="N30" i="16"/>
  <c r="O30" i="16" s="1"/>
  <c r="L30" i="16"/>
  <c r="L33" i="16"/>
  <c r="N33" i="16"/>
  <c r="L12" i="16"/>
  <c r="N12" i="16"/>
  <c r="O12" i="16" s="1"/>
  <c r="K22" i="16"/>
  <c r="L22" i="16" s="1"/>
  <c r="L24" i="16"/>
  <c r="N24" i="16"/>
  <c r="L11" i="16"/>
  <c r="N11" i="16"/>
  <c r="O11" i="16" s="1"/>
  <c r="J431" i="15"/>
  <c r="G431" i="15"/>
  <c r="H431" i="15"/>
  <c r="F431" i="15"/>
  <c r="J419" i="15"/>
  <c r="G419" i="15"/>
  <c r="H419" i="15"/>
  <c r="F419" i="15"/>
  <c r="J411" i="15"/>
  <c r="G411" i="15"/>
  <c r="H411" i="15"/>
  <c r="F411" i="15"/>
  <c r="G401" i="15"/>
  <c r="H401" i="15"/>
  <c r="F401" i="15"/>
  <c r="J401" i="15"/>
  <c r="K50" i="17" l="1"/>
  <c r="L50" i="17" s="1"/>
  <c r="I64" i="17"/>
  <c r="L47" i="16"/>
  <c r="K50" i="16"/>
  <c r="L50" i="16" s="1"/>
  <c r="M64" i="16"/>
  <c r="N48" i="16"/>
  <c r="O48" i="16" s="1"/>
  <c r="L48" i="16"/>
  <c r="M64" i="17"/>
  <c r="O47" i="17"/>
  <c r="N45" i="17"/>
  <c r="O45" i="17" s="1"/>
  <c r="O24" i="17"/>
  <c r="N22" i="17"/>
  <c r="O22" i="17" s="1"/>
  <c r="K18" i="17"/>
  <c r="L18" i="17" s="1"/>
  <c r="N19" i="17"/>
  <c r="L19" i="17"/>
  <c r="N27" i="17"/>
  <c r="O27" i="17" s="1"/>
  <c r="O28" i="17"/>
  <c r="O9" i="17"/>
  <c r="N8" i="17"/>
  <c r="O53" i="17"/>
  <c r="N50" i="17"/>
  <c r="O50" i="17" s="1"/>
  <c r="O24" i="16"/>
  <c r="N22" i="16"/>
  <c r="O22" i="16" s="1"/>
  <c r="O47" i="16"/>
  <c r="N45" i="16"/>
  <c r="O45" i="16" s="1"/>
  <c r="O53" i="16"/>
  <c r="N50" i="16"/>
  <c r="O50" i="16" s="1"/>
  <c r="N27" i="16"/>
  <c r="O27" i="16" s="1"/>
  <c r="O28" i="16"/>
  <c r="O9" i="16"/>
  <c r="N8" i="16"/>
  <c r="N19" i="16"/>
  <c r="L19" i="16"/>
  <c r="K18" i="16"/>
  <c r="L18" i="16" s="1"/>
  <c r="I64" i="16"/>
  <c r="H110" i="15"/>
  <c r="G110" i="15"/>
  <c r="K64" i="17" l="1"/>
  <c r="L64" i="17" s="1"/>
  <c r="O8" i="17"/>
  <c r="N18" i="17"/>
  <c r="O18" i="17" s="1"/>
  <c r="O19" i="17"/>
  <c r="N18" i="16"/>
  <c r="O18" i="16" s="1"/>
  <c r="O19" i="16"/>
  <c r="K64" i="16"/>
  <c r="L64" i="16" s="1"/>
  <c r="O8" i="16"/>
  <c r="I52" i="9"/>
  <c r="I60" i="9"/>
  <c r="I51" i="9"/>
  <c r="I49" i="9"/>
  <c r="I46" i="9"/>
  <c r="I42" i="9"/>
  <c r="I25" i="9"/>
  <c r="I26" i="9"/>
  <c r="I23" i="9"/>
  <c r="I20" i="9"/>
  <c r="I21" i="9"/>
  <c r="I10" i="9"/>
  <c r="I13" i="9"/>
  <c r="I14" i="9"/>
  <c r="I16" i="9"/>
  <c r="I17" i="9"/>
  <c r="N64" i="17" l="1"/>
  <c r="O64" i="17" s="1"/>
  <c r="N64" i="16"/>
  <c r="O64" i="16" s="1"/>
  <c r="J379" i="15"/>
  <c r="H379" i="15"/>
  <c r="J372" i="15"/>
  <c r="G372" i="15"/>
  <c r="H372" i="15"/>
  <c r="F372" i="15"/>
  <c r="J367" i="15"/>
  <c r="G367" i="15"/>
  <c r="H367" i="15"/>
  <c r="F367" i="15"/>
  <c r="J360" i="15"/>
  <c r="G360" i="15"/>
  <c r="H360" i="15"/>
  <c r="F360" i="15"/>
  <c r="J350" i="15"/>
  <c r="G350" i="15"/>
  <c r="H350" i="15"/>
  <c r="F350" i="15"/>
  <c r="J341" i="15"/>
  <c r="G341" i="15"/>
  <c r="H341" i="15"/>
  <c r="F341" i="15"/>
  <c r="J326" i="15"/>
  <c r="G326" i="15"/>
  <c r="G304" i="15" s="1"/>
  <c r="H326" i="15"/>
  <c r="H304" i="15" s="1"/>
  <c r="F326" i="15"/>
  <c r="J438" i="15"/>
  <c r="F438" i="15"/>
  <c r="G438" i="15"/>
  <c r="H438" i="15"/>
  <c r="E438" i="15"/>
  <c r="E400" i="15"/>
  <c r="J400" i="15"/>
  <c r="F400" i="15"/>
  <c r="F382" i="15" s="1"/>
  <c r="G400" i="15"/>
  <c r="H400" i="15"/>
  <c r="J304" i="15"/>
  <c r="F304" i="15"/>
  <c r="G278" i="15"/>
  <c r="H278" i="15"/>
  <c r="F278" i="15"/>
  <c r="F263" i="15"/>
  <c r="J263" i="15"/>
  <c r="G263" i="15"/>
  <c r="H263" i="15"/>
  <c r="F243" i="15"/>
  <c r="J243" i="15"/>
  <c r="G243" i="15"/>
  <c r="H243" i="15"/>
  <c r="J186" i="15"/>
  <c r="G186" i="15"/>
  <c r="H186" i="15"/>
  <c r="F186" i="15"/>
  <c r="J165" i="15"/>
  <c r="G165" i="15"/>
  <c r="G164" i="15" s="1"/>
  <c r="H165" i="15"/>
  <c r="F165" i="15"/>
  <c r="E128" i="15"/>
  <c r="J154" i="15"/>
  <c r="G154" i="15"/>
  <c r="H154" i="15"/>
  <c r="F154" i="15"/>
  <c r="J140" i="15"/>
  <c r="J128" i="15" s="1"/>
  <c r="G140" i="15"/>
  <c r="H140" i="15"/>
  <c r="F140" i="15"/>
  <c r="J129" i="15"/>
  <c r="G129" i="15"/>
  <c r="G128" i="15" s="1"/>
  <c r="H129" i="15"/>
  <c r="J110" i="15"/>
  <c r="J109" i="15" s="1"/>
  <c r="G109" i="15"/>
  <c r="H109" i="15"/>
  <c r="F109" i="15"/>
  <c r="F129" i="15"/>
  <c r="H164" i="15" l="1"/>
  <c r="F379" i="15"/>
  <c r="F164" i="15" s="1"/>
  <c r="F127" i="15" s="1"/>
  <c r="J164" i="15"/>
  <c r="J127" i="15" s="1"/>
  <c r="I140" i="15"/>
  <c r="K140" i="15" s="1"/>
  <c r="F128" i="15"/>
  <c r="H128" i="15"/>
  <c r="J101" i="15"/>
  <c r="G101" i="15"/>
  <c r="H101" i="15"/>
  <c r="F101" i="15"/>
  <c r="J86" i="15"/>
  <c r="G86" i="15"/>
  <c r="H86" i="15"/>
  <c r="F86" i="15"/>
  <c r="J71" i="15"/>
  <c r="G71" i="15"/>
  <c r="H71" i="15"/>
  <c r="F71" i="15"/>
  <c r="J63" i="15"/>
  <c r="G63" i="15"/>
  <c r="H63" i="15"/>
  <c r="F63" i="15"/>
  <c r="G50" i="15"/>
  <c r="H50" i="15"/>
  <c r="F50" i="15"/>
  <c r="G36" i="15"/>
  <c r="I36" i="15" s="1"/>
  <c r="H36" i="15"/>
  <c r="F36" i="15"/>
  <c r="G21" i="15"/>
  <c r="H21" i="15"/>
  <c r="F21" i="15"/>
  <c r="G4" i="15"/>
  <c r="H4" i="15"/>
  <c r="F4" i="15"/>
  <c r="J50" i="15"/>
  <c r="J36" i="15"/>
  <c r="J21" i="15"/>
  <c r="J4" i="15"/>
  <c r="J566" i="15" s="1"/>
  <c r="I560" i="15"/>
  <c r="H559" i="15"/>
  <c r="G559" i="15"/>
  <c r="F559" i="15"/>
  <c r="E559" i="15"/>
  <c r="I550" i="15"/>
  <c r="K550" i="15" s="1"/>
  <c r="I540" i="15"/>
  <c r="K540" i="15" s="1"/>
  <c r="I521" i="15"/>
  <c r="K521" i="15" s="1"/>
  <c r="I507" i="15"/>
  <c r="K507" i="15" s="1"/>
  <c r="I491" i="15"/>
  <c r="K491" i="15" s="1"/>
  <c r="I478" i="15"/>
  <c r="K478" i="15" s="1"/>
  <c r="I466" i="15"/>
  <c r="K466" i="15" s="1"/>
  <c r="I454" i="15"/>
  <c r="K454" i="15" s="1"/>
  <c r="I450" i="15"/>
  <c r="I439" i="15"/>
  <c r="K439" i="15" s="1"/>
  <c r="I431" i="15"/>
  <c r="K431" i="15" s="1"/>
  <c r="I419" i="15"/>
  <c r="K419" i="15" s="1"/>
  <c r="I411" i="15"/>
  <c r="K411" i="15" s="1"/>
  <c r="I401" i="15"/>
  <c r="K401" i="15" s="1"/>
  <c r="I379" i="15"/>
  <c r="K379" i="15" s="1"/>
  <c r="I377" i="15"/>
  <c r="I372" i="15"/>
  <c r="K372" i="15" s="1"/>
  <c r="I367" i="15"/>
  <c r="K367" i="15" s="1"/>
  <c r="I360" i="15"/>
  <c r="K360" i="15" s="1"/>
  <c r="I350" i="15"/>
  <c r="K350" i="15" s="1"/>
  <c r="I341" i="15"/>
  <c r="K341" i="15" s="1"/>
  <c r="M343" i="15" s="1"/>
  <c r="I337" i="15"/>
  <c r="I326" i="15"/>
  <c r="K326" i="15" s="1"/>
  <c r="E304" i="15"/>
  <c r="I304" i="15" s="1"/>
  <c r="K304" i="15" s="1"/>
  <c r="E278" i="15"/>
  <c r="E263" i="15"/>
  <c r="I243" i="15"/>
  <c r="K243" i="15" s="1"/>
  <c r="I186" i="15"/>
  <c r="I165" i="15"/>
  <c r="K165" i="15" s="1"/>
  <c r="I163" i="15"/>
  <c r="I154" i="15"/>
  <c r="I129" i="15"/>
  <c r="I126" i="15"/>
  <c r="I125" i="15"/>
  <c r="E110" i="15"/>
  <c r="E109" i="15" s="1"/>
  <c r="I19" i="15"/>
  <c r="E4" i="15"/>
  <c r="E3" i="15" s="1"/>
  <c r="E164" i="15" l="1"/>
  <c r="K129" i="15"/>
  <c r="K186" i="15"/>
  <c r="L189" i="15" s="1"/>
  <c r="I559" i="15"/>
  <c r="K560" i="15"/>
  <c r="F3" i="15"/>
  <c r="I400" i="15"/>
  <c r="K400" i="15" s="1"/>
  <c r="I438" i="15"/>
  <c r="K438" i="15" s="1"/>
  <c r="I21" i="15"/>
  <c r="K21" i="15" s="1"/>
  <c r="I71" i="15"/>
  <c r="K71" i="15" s="1"/>
  <c r="I101" i="15"/>
  <c r="K101" i="15" s="1"/>
  <c r="I263" i="15"/>
  <c r="K263" i="15" s="1"/>
  <c r="E566" i="15"/>
  <c r="G3" i="15"/>
  <c r="G566" i="15" s="1"/>
  <c r="I4" i="15"/>
  <c r="K4" i="15" s="1"/>
  <c r="I63" i="15"/>
  <c r="K63" i="15" s="1"/>
  <c r="H3" i="15"/>
  <c r="H566" i="15" s="1"/>
  <c r="K154" i="15"/>
  <c r="I86" i="15"/>
  <c r="K86" i="15" s="1"/>
  <c r="I50" i="15"/>
  <c r="K50" i="15" s="1"/>
  <c r="K36" i="15"/>
  <c r="J3" i="15"/>
  <c r="I110" i="15"/>
  <c r="G2" i="15"/>
  <c r="I278" i="15"/>
  <c r="K278" i="15" s="1"/>
  <c r="C75" i="13"/>
  <c r="H9" i="13"/>
  <c r="I9" i="13"/>
  <c r="J9" i="13"/>
  <c r="L9" i="13" s="1"/>
  <c r="K9" i="13"/>
  <c r="M9" i="13" s="1"/>
  <c r="H10" i="13"/>
  <c r="I10" i="13"/>
  <c r="J10" i="13"/>
  <c r="L10" i="13" s="1"/>
  <c r="K10" i="13"/>
  <c r="M10" i="13" s="1"/>
  <c r="H11" i="13"/>
  <c r="I11" i="13"/>
  <c r="J11" i="13"/>
  <c r="L11" i="13" s="1"/>
  <c r="K11" i="13"/>
  <c r="M11" i="13" s="1"/>
  <c r="H12" i="13"/>
  <c r="I12" i="13"/>
  <c r="J12" i="13"/>
  <c r="L12" i="13" s="1"/>
  <c r="K12" i="13"/>
  <c r="M12" i="13" s="1"/>
  <c r="I8" i="13"/>
  <c r="J8" i="13"/>
  <c r="K8" i="13"/>
  <c r="L8" i="13"/>
  <c r="M8" i="13"/>
  <c r="N8" i="13"/>
  <c r="O8" i="13"/>
  <c r="P8" i="13"/>
  <c r="Q8" i="13"/>
  <c r="R8" i="13"/>
  <c r="S8" i="13"/>
  <c r="H8" i="13"/>
  <c r="T76" i="13"/>
  <c r="I26" i="13"/>
  <c r="L26" i="13"/>
  <c r="P26" i="13"/>
  <c r="G32" i="13"/>
  <c r="G25" i="13"/>
  <c r="G26" i="13"/>
  <c r="J26" i="13" s="1"/>
  <c r="G27" i="13"/>
  <c r="J27" i="13" s="1"/>
  <c r="G28" i="13"/>
  <c r="G29" i="13"/>
  <c r="G30" i="13"/>
  <c r="G31" i="13"/>
  <c r="O31" i="13"/>
  <c r="N31" i="13"/>
  <c r="M31" i="13"/>
  <c r="L31" i="13"/>
  <c r="K31" i="13"/>
  <c r="I31" i="13"/>
  <c r="M30" i="13"/>
  <c r="I164" i="15" l="1"/>
  <c r="F2" i="15"/>
  <c r="F566" i="15"/>
  <c r="I566" i="15" s="1"/>
  <c r="J2" i="15"/>
  <c r="E2" i="15"/>
  <c r="H2" i="15"/>
  <c r="K128" i="15"/>
  <c r="I109" i="15"/>
  <c r="K109" i="15" s="1"/>
  <c r="K110" i="15"/>
  <c r="K3" i="15" s="1"/>
  <c r="I3" i="15"/>
  <c r="N12" i="13"/>
  <c r="N11" i="13"/>
  <c r="N10" i="13"/>
  <c r="N9" i="13"/>
  <c r="M27" i="13"/>
  <c r="I27" i="13"/>
  <c r="S26" i="13"/>
  <c r="O26" i="13"/>
  <c r="H27" i="13"/>
  <c r="P27" i="13"/>
  <c r="L27" i="13"/>
  <c r="H26" i="13"/>
  <c r="Q27" i="13"/>
  <c r="R26" i="13"/>
  <c r="N26" i="13"/>
  <c r="S27" i="13"/>
  <c r="O27" i="13"/>
  <c r="K27" i="13"/>
  <c r="K26" i="13"/>
  <c r="Q26" i="13"/>
  <c r="M26" i="13"/>
  <c r="R27" i="13"/>
  <c r="N27" i="13"/>
  <c r="K164" i="15" l="1"/>
  <c r="I127" i="15"/>
  <c r="K566" i="15"/>
  <c r="O10" i="13"/>
  <c r="O11" i="13"/>
  <c r="O12" i="13"/>
  <c r="O9" i="13"/>
  <c r="K127" i="15" l="1"/>
  <c r="I2" i="15"/>
  <c r="K2" i="15" s="1"/>
  <c r="Q10" i="13"/>
  <c r="P12" i="13"/>
  <c r="P10" i="13"/>
  <c r="Q11" i="13"/>
  <c r="P9" i="13"/>
  <c r="P11" i="13"/>
  <c r="Q9" i="13" l="1"/>
  <c r="Q12" i="13"/>
  <c r="R11" i="13"/>
  <c r="S11" i="13" s="1"/>
  <c r="R10" i="13"/>
  <c r="S10" i="13" s="1"/>
  <c r="R12" i="13" l="1"/>
  <c r="S12" i="13" s="1"/>
  <c r="R9" i="13"/>
  <c r="S9" i="13" s="1"/>
  <c r="C24" i="13" l="1"/>
  <c r="L68" i="13"/>
  <c r="G66" i="13"/>
  <c r="G67" i="13"/>
  <c r="I67" i="13" s="1"/>
  <c r="G68" i="13"/>
  <c r="I68" i="13" s="1"/>
  <c r="G69" i="13"/>
  <c r="K69" i="13" s="1"/>
  <c r="G70" i="13"/>
  <c r="G71" i="13"/>
  <c r="K71" i="13" s="1"/>
  <c r="G72" i="13"/>
  <c r="I72" i="13" s="1"/>
  <c r="G73" i="13"/>
  <c r="K73" i="13" s="1"/>
  <c r="G74" i="13"/>
  <c r="G65" i="13"/>
  <c r="T66" i="13"/>
  <c r="T65" i="13"/>
  <c r="K67" i="13"/>
  <c r="P67" i="13"/>
  <c r="J69" i="13"/>
  <c r="I70" i="13"/>
  <c r="J70" i="13"/>
  <c r="K70" i="13"/>
  <c r="L70" i="13"/>
  <c r="M70" i="13"/>
  <c r="N70" i="13"/>
  <c r="O70" i="13"/>
  <c r="P70" i="13"/>
  <c r="Q70" i="13"/>
  <c r="R70" i="13"/>
  <c r="S70" i="13"/>
  <c r="J71" i="13"/>
  <c r="N71" i="13"/>
  <c r="R71" i="13"/>
  <c r="K72" i="13"/>
  <c r="L72" i="13"/>
  <c r="O72" i="13"/>
  <c r="P72" i="13"/>
  <c r="S72" i="13"/>
  <c r="J73" i="13"/>
  <c r="H72" i="13"/>
  <c r="H70" i="13"/>
  <c r="T63" i="13"/>
  <c r="T60" i="13"/>
  <c r="T46" i="13"/>
  <c r="T50" i="13"/>
  <c r="T52" i="13"/>
  <c r="T53" i="13"/>
  <c r="T54" i="13"/>
  <c r="T55" i="13"/>
  <c r="T56" i="13"/>
  <c r="T57" i="13"/>
  <c r="T58" i="13"/>
  <c r="T44" i="13"/>
  <c r="K38" i="13"/>
  <c r="T41" i="13"/>
  <c r="I40" i="13"/>
  <c r="T40" i="13" s="1"/>
  <c r="T25" i="13"/>
  <c r="G76" i="13"/>
  <c r="G61" i="13"/>
  <c r="J61" i="13" s="1"/>
  <c r="G62" i="13"/>
  <c r="I62" i="13" s="1"/>
  <c r="G63" i="13"/>
  <c r="G60" i="13"/>
  <c r="G58" i="13"/>
  <c r="G50" i="13"/>
  <c r="G51" i="13"/>
  <c r="H51" i="13" s="1"/>
  <c r="I51" i="13" s="1"/>
  <c r="G52" i="13"/>
  <c r="G53" i="13"/>
  <c r="G54" i="13"/>
  <c r="G55" i="13"/>
  <c r="G56" i="13"/>
  <c r="G57" i="13"/>
  <c r="G45" i="13"/>
  <c r="G46" i="13"/>
  <c r="G44" i="13"/>
  <c r="G40" i="13"/>
  <c r="G41" i="13"/>
  <c r="G42" i="13"/>
  <c r="G39" i="13"/>
  <c r="J39" i="13" s="1"/>
  <c r="G35" i="13"/>
  <c r="G36" i="13"/>
  <c r="T28" i="13"/>
  <c r="M29" i="13"/>
  <c r="T29" i="13" s="1"/>
  <c r="T30" i="13"/>
  <c r="T31" i="13"/>
  <c r="S32" i="13"/>
  <c r="T32" i="13" s="1"/>
  <c r="H35" i="13" l="1"/>
  <c r="M61" i="13"/>
  <c r="H67" i="13"/>
  <c r="Q71" i="13"/>
  <c r="M71" i="13"/>
  <c r="I71" i="13"/>
  <c r="O67" i="13"/>
  <c r="J67" i="13"/>
  <c r="G24" i="13"/>
  <c r="H24" i="13" s="1"/>
  <c r="Q61" i="13"/>
  <c r="I61" i="13"/>
  <c r="P71" i="13"/>
  <c r="L71" i="13"/>
  <c r="S67" i="13"/>
  <c r="N67" i="13"/>
  <c r="H68" i="13"/>
  <c r="H36" i="13"/>
  <c r="J45" i="13"/>
  <c r="N45" i="13"/>
  <c r="R45" i="13"/>
  <c r="Q45" i="13"/>
  <c r="K45" i="13"/>
  <c r="O45" i="13"/>
  <c r="S45" i="13"/>
  <c r="M45" i="13"/>
  <c r="L45" i="13"/>
  <c r="P45" i="13"/>
  <c r="H45" i="13"/>
  <c r="I45" i="13"/>
  <c r="H71" i="13"/>
  <c r="S71" i="13"/>
  <c r="O71" i="13"/>
  <c r="R67" i="13"/>
  <c r="L67" i="13"/>
  <c r="P68" i="13"/>
  <c r="J38" i="13"/>
  <c r="T39" i="13"/>
  <c r="I59" i="13"/>
  <c r="J59" i="13"/>
  <c r="L62" i="13"/>
  <c r="H61" i="13"/>
  <c r="L61" i="13"/>
  <c r="S62" i="13"/>
  <c r="K62" i="13"/>
  <c r="O68" i="13"/>
  <c r="K68" i="13"/>
  <c r="T45" i="13"/>
  <c r="H62" i="13"/>
  <c r="O61" i="13"/>
  <c r="K61" i="13"/>
  <c r="K59" i="13" s="1"/>
  <c r="R62" i="13"/>
  <c r="N62" i="13"/>
  <c r="J62" i="13"/>
  <c r="R73" i="13"/>
  <c r="R72" i="13"/>
  <c r="N72" i="13"/>
  <c r="J72" i="13"/>
  <c r="R69" i="13"/>
  <c r="R68" i="13"/>
  <c r="N68" i="13"/>
  <c r="J68" i="13"/>
  <c r="P62" i="13"/>
  <c r="G59" i="13"/>
  <c r="P61" i="13"/>
  <c r="S61" i="13"/>
  <c r="O62" i="13"/>
  <c r="S68" i="13"/>
  <c r="R61" i="13"/>
  <c r="N61" i="13"/>
  <c r="N59" i="13" s="1"/>
  <c r="Q62" i="13"/>
  <c r="Q59" i="13" s="1"/>
  <c r="M62" i="13"/>
  <c r="M59" i="13" s="1"/>
  <c r="T70" i="13"/>
  <c r="N73" i="13"/>
  <c r="Q72" i="13"/>
  <c r="M72" i="13"/>
  <c r="N69" i="13"/>
  <c r="Q67" i="13"/>
  <c r="M67" i="13"/>
  <c r="Q68" i="13"/>
  <c r="M68" i="13"/>
  <c r="Q24" i="13"/>
  <c r="P24" i="13"/>
  <c r="Q73" i="13"/>
  <c r="M73" i="13"/>
  <c r="I73" i="13"/>
  <c r="Q69" i="13"/>
  <c r="M69" i="13"/>
  <c r="I69" i="13"/>
  <c r="H69" i="13"/>
  <c r="H73" i="13"/>
  <c r="P73" i="13"/>
  <c r="L73" i="13"/>
  <c r="P69" i="13"/>
  <c r="L69" i="13"/>
  <c r="S73" i="13"/>
  <c r="O73" i="13"/>
  <c r="S69" i="13"/>
  <c r="O69" i="13"/>
  <c r="J51" i="13"/>
  <c r="C38" i="13"/>
  <c r="C59" i="13"/>
  <c r="C64" i="13"/>
  <c r="C49" i="13"/>
  <c r="G49" i="13" s="1"/>
  <c r="C48" i="13"/>
  <c r="G48" i="13" s="1"/>
  <c r="C47" i="13"/>
  <c r="C34" i="13"/>
  <c r="G34" i="13" s="1"/>
  <c r="H34" i="13" s="1"/>
  <c r="T34" i="13" s="1"/>
  <c r="T72" i="13" l="1"/>
  <c r="I36" i="13"/>
  <c r="O24" i="13"/>
  <c r="N24" i="13"/>
  <c r="J24" i="13"/>
  <c r="T24" i="13" s="1"/>
  <c r="T67" i="13"/>
  <c r="T71" i="13"/>
  <c r="K24" i="13"/>
  <c r="S24" i="13"/>
  <c r="I24" i="13"/>
  <c r="R24" i="13"/>
  <c r="S59" i="13"/>
  <c r="T68" i="13"/>
  <c r="J48" i="13"/>
  <c r="N48" i="13"/>
  <c r="R48" i="13"/>
  <c r="I48" i="13"/>
  <c r="Q48" i="13"/>
  <c r="K48" i="13"/>
  <c r="O48" i="13"/>
  <c r="S48" i="13"/>
  <c r="L48" i="13"/>
  <c r="P48" i="13"/>
  <c r="H48" i="13"/>
  <c r="T48" i="13" s="1"/>
  <c r="M48" i="13"/>
  <c r="L24" i="13"/>
  <c r="M24" i="13"/>
  <c r="P59" i="13"/>
  <c r="J36" i="13"/>
  <c r="K36" i="13" s="1"/>
  <c r="I35" i="13"/>
  <c r="T73" i="13"/>
  <c r="T27" i="13"/>
  <c r="R59" i="13"/>
  <c r="T62" i="13"/>
  <c r="H59" i="13"/>
  <c r="T61" i="13"/>
  <c r="I49" i="13"/>
  <c r="M49" i="13"/>
  <c r="Q49" i="13"/>
  <c r="K49" i="13"/>
  <c r="O49" i="13"/>
  <c r="H49" i="13"/>
  <c r="L49" i="13"/>
  <c r="J49" i="13"/>
  <c r="N49" i="13"/>
  <c r="R49" i="13"/>
  <c r="S49" i="13"/>
  <c r="P49" i="13"/>
  <c r="O59" i="13"/>
  <c r="C43" i="13"/>
  <c r="G47" i="13"/>
  <c r="L59" i="13"/>
  <c r="T26" i="13"/>
  <c r="T69" i="13"/>
  <c r="K51" i="13"/>
  <c r="M36" i="13" l="1"/>
  <c r="J35" i="13"/>
  <c r="J47" i="13"/>
  <c r="N47" i="13"/>
  <c r="R47" i="13"/>
  <c r="M47" i="13"/>
  <c r="K47" i="13"/>
  <c r="O47" i="13"/>
  <c r="S47" i="13"/>
  <c r="L47" i="13"/>
  <c r="P47" i="13"/>
  <c r="H47" i="13"/>
  <c r="H43" i="13" s="1"/>
  <c r="I47" i="13"/>
  <c r="Q47" i="13"/>
  <c r="L36" i="13"/>
  <c r="K35" i="13"/>
  <c r="T49" i="13"/>
  <c r="I43" i="13"/>
  <c r="J43" i="13"/>
  <c r="K43" i="13"/>
  <c r="G43" i="13"/>
  <c r="T59" i="13"/>
  <c r="L51" i="13"/>
  <c r="N36" i="13" l="1"/>
  <c r="L35" i="13"/>
  <c r="T47" i="13"/>
  <c r="L43" i="13"/>
  <c r="M51" i="13"/>
  <c r="M43" i="13" s="1"/>
  <c r="O36" i="13" l="1"/>
  <c r="M35" i="13"/>
  <c r="N51" i="13"/>
  <c r="N43" i="13" s="1"/>
  <c r="Q36" i="13" l="1"/>
  <c r="R36" i="13"/>
  <c r="S36" i="13" s="1"/>
  <c r="P36" i="13"/>
  <c r="T36" i="13" s="1"/>
  <c r="N35" i="13"/>
  <c r="O51" i="13"/>
  <c r="O43" i="13" s="1"/>
  <c r="Q51" i="13"/>
  <c r="Q43" i="13" s="1"/>
  <c r="P51" i="13"/>
  <c r="O35" i="13" l="1"/>
  <c r="P35" i="13" s="1"/>
  <c r="R51" i="13"/>
  <c r="R43" i="13" s="1"/>
  <c r="P43" i="13"/>
  <c r="Q35" i="13" l="1"/>
  <c r="R35" i="13" s="1"/>
  <c r="S35" i="13" s="1"/>
  <c r="T35" i="13" s="1"/>
  <c r="S51" i="13"/>
  <c r="N75" i="13"/>
  <c r="O75" i="13"/>
  <c r="P75" i="13"/>
  <c r="Q75" i="13"/>
  <c r="R75" i="13"/>
  <c r="S75" i="13"/>
  <c r="T75" i="13"/>
  <c r="M75" i="13"/>
  <c r="G75" i="13"/>
  <c r="H75" i="13"/>
  <c r="I75" i="13"/>
  <c r="J75" i="13"/>
  <c r="K75" i="13"/>
  <c r="L75" i="13"/>
  <c r="E75" i="13"/>
  <c r="F75" i="13"/>
  <c r="D75" i="13"/>
  <c r="F64" i="13"/>
  <c r="E64" i="13"/>
  <c r="D64" i="13"/>
  <c r="F59" i="13"/>
  <c r="E59" i="13"/>
  <c r="D59" i="13"/>
  <c r="D43" i="13"/>
  <c r="L42" i="13"/>
  <c r="L38" i="13" s="1"/>
  <c r="F38" i="13"/>
  <c r="E38" i="13"/>
  <c r="D38" i="13"/>
  <c r="F33" i="13"/>
  <c r="E33" i="13"/>
  <c r="D33" i="13"/>
  <c r="C33" i="13"/>
  <c r="E23" i="13"/>
  <c r="D23" i="13"/>
  <c r="C23" i="13"/>
  <c r="I16" i="13"/>
  <c r="H16" i="13"/>
  <c r="E16" i="13"/>
  <c r="S13" i="13"/>
  <c r="S16" i="13" s="1"/>
  <c r="R13" i="13"/>
  <c r="R16" i="13" s="1"/>
  <c r="Q13" i="13"/>
  <c r="Q16" i="13" s="1"/>
  <c r="P13" i="13"/>
  <c r="P16" i="13" s="1"/>
  <c r="O13" i="13"/>
  <c r="O16" i="13" s="1"/>
  <c r="N13" i="13"/>
  <c r="N16" i="13" s="1"/>
  <c r="M13" i="13"/>
  <c r="M16" i="13" s="1"/>
  <c r="L13" i="13"/>
  <c r="L16" i="13" s="1"/>
  <c r="K13" i="13"/>
  <c r="K16" i="13" s="1"/>
  <c r="J13" i="13"/>
  <c r="J16" i="13" s="1"/>
  <c r="I13" i="13"/>
  <c r="H13" i="13"/>
  <c r="C13" i="13"/>
  <c r="C16" i="13" s="1"/>
  <c r="T12" i="13"/>
  <c r="G12" i="13"/>
  <c r="T11" i="13"/>
  <c r="G11" i="13"/>
  <c r="T10" i="13"/>
  <c r="G10" i="13"/>
  <c r="T9" i="13"/>
  <c r="G9" i="13"/>
  <c r="T8" i="13"/>
  <c r="G8" i="13"/>
  <c r="C77" i="13" l="1"/>
  <c r="T51" i="13"/>
  <c r="S43" i="13"/>
  <c r="C37" i="13"/>
  <c r="D77" i="13"/>
  <c r="E43" i="13"/>
  <c r="E77" i="13" s="1"/>
  <c r="F23" i="13"/>
  <c r="G13" i="13"/>
  <c r="G16" i="13" s="1"/>
  <c r="T13" i="13"/>
  <c r="F43" i="13"/>
  <c r="F37" i="13" s="1"/>
  <c r="G64" i="13"/>
  <c r="P33" i="13"/>
  <c r="G33" i="13"/>
  <c r="J33" i="13"/>
  <c r="N33" i="13"/>
  <c r="D37" i="13"/>
  <c r="R42" i="13"/>
  <c r="R38" i="13" s="1"/>
  <c r="N42" i="13"/>
  <c r="N38" i="13" s="1"/>
  <c r="Q42" i="13"/>
  <c r="Q38" i="13" s="1"/>
  <c r="M42" i="13"/>
  <c r="M38" i="13" s="1"/>
  <c r="I38" i="13"/>
  <c r="T16" i="13"/>
  <c r="Q33" i="13"/>
  <c r="G38" i="13"/>
  <c r="H42" i="13"/>
  <c r="P42" i="13"/>
  <c r="P38" i="13" s="1"/>
  <c r="O42" i="13"/>
  <c r="O38" i="13" s="1"/>
  <c r="G23" i="13"/>
  <c r="Q23" i="13"/>
  <c r="L37" i="13"/>
  <c r="Q74" i="13"/>
  <c r="R74" i="13"/>
  <c r="E37" i="13" l="1"/>
  <c r="H33" i="13"/>
  <c r="G77" i="13"/>
  <c r="T43" i="13"/>
  <c r="H38" i="13"/>
  <c r="R33" i="13"/>
  <c r="F77" i="13"/>
  <c r="O33" i="13"/>
  <c r="R23" i="13"/>
  <c r="J64" i="13"/>
  <c r="M64" i="13"/>
  <c r="Q64" i="13"/>
  <c r="R64" i="13"/>
  <c r="S74" i="13"/>
  <c r="T74" i="13" s="1"/>
  <c r="T64" i="13" s="1"/>
  <c r="I64" i="13"/>
  <c r="N64" i="13"/>
  <c r="Q37" i="13"/>
  <c r="L33" i="13"/>
  <c r="I37" i="13"/>
  <c r="R37" i="13"/>
  <c r="N23" i="13"/>
  <c r="H23" i="13"/>
  <c r="K33" i="13"/>
  <c r="M37" i="13"/>
  <c r="M23" i="13"/>
  <c r="G37" i="13"/>
  <c r="O23" i="13"/>
  <c r="H64" i="13"/>
  <c r="O37" i="13"/>
  <c r="I23" i="13"/>
  <c r="J37" i="13"/>
  <c r="M33" i="13"/>
  <c r="K23" i="13"/>
  <c r="O64" i="13"/>
  <c r="K37" i="13"/>
  <c r="S42" i="13"/>
  <c r="S38" i="13" s="1"/>
  <c r="P37" i="13"/>
  <c r="I33" i="13"/>
  <c r="P23" i="13"/>
  <c r="L64" i="13"/>
  <c r="P64" i="13"/>
  <c r="K64" i="13"/>
  <c r="N37" i="13"/>
  <c r="J23" i="13"/>
  <c r="S23" i="13"/>
  <c r="L23" i="13"/>
  <c r="T42" i="13" l="1"/>
  <c r="T38" i="13" s="1"/>
  <c r="T37" i="13" s="1"/>
  <c r="H37" i="13"/>
  <c r="P77" i="13"/>
  <c r="S33" i="13"/>
  <c r="K77" i="13"/>
  <c r="Q77" i="13"/>
  <c r="I77" i="13"/>
  <c r="H77" i="13"/>
  <c r="R77" i="13"/>
  <c r="M77" i="13"/>
  <c r="S37" i="13"/>
  <c r="T23" i="13"/>
  <c r="O77" i="13"/>
  <c r="J77" i="13"/>
  <c r="L77" i="13"/>
  <c r="N77" i="13"/>
  <c r="T33" i="13"/>
  <c r="S64" i="13"/>
  <c r="T77" i="13" l="1"/>
  <c r="S77" i="13"/>
  <c r="J8" i="9" l="1"/>
  <c r="M63" i="9" l="1"/>
  <c r="H63" i="9"/>
  <c r="M62" i="9"/>
  <c r="H62" i="9"/>
  <c r="N62" i="9" s="1"/>
  <c r="L61" i="9"/>
  <c r="K61" i="9"/>
  <c r="J61" i="9"/>
  <c r="I61" i="9"/>
  <c r="M61" i="9" s="1"/>
  <c r="G61" i="9"/>
  <c r="F61" i="9"/>
  <c r="E61" i="9"/>
  <c r="D61" i="9"/>
  <c r="C61" i="9"/>
  <c r="H60" i="9"/>
  <c r="H59" i="9"/>
  <c r="H58" i="9"/>
  <c r="H57" i="9"/>
  <c r="H56" i="9"/>
  <c r="H55" i="9"/>
  <c r="H54" i="9"/>
  <c r="H53" i="9"/>
  <c r="H52" i="9"/>
  <c r="H51" i="9"/>
  <c r="J50" i="9"/>
  <c r="G50" i="9"/>
  <c r="F50" i="9"/>
  <c r="E50" i="9"/>
  <c r="D50" i="9"/>
  <c r="D64" i="9" s="1"/>
  <c r="C50" i="9"/>
  <c r="H49" i="9"/>
  <c r="H48" i="9"/>
  <c r="H47" i="9"/>
  <c r="H46" i="9"/>
  <c r="J45" i="9"/>
  <c r="G45" i="9"/>
  <c r="F45" i="9"/>
  <c r="E45" i="9"/>
  <c r="D45" i="9"/>
  <c r="C45" i="9"/>
  <c r="M42" i="9"/>
  <c r="K42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G27" i="9"/>
  <c r="F27" i="9"/>
  <c r="E27" i="9"/>
  <c r="D27" i="9"/>
  <c r="C27" i="9"/>
  <c r="H26" i="9"/>
  <c r="H25" i="9"/>
  <c r="H24" i="9"/>
  <c r="H23" i="9"/>
  <c r="J22" i="9"/>
  <c r="F22" i="9"/>
  <c r="E22" i="9"/>
  <c r="D22" i="9"/>
  <c r="C22" i="9"/>
  <c r="H21" i="9"/>
  <c r="H20" i="9"/>
  <c r="H19" i="9"/>
  <c r="G18" i="9"/>
  <c r="F18" i="9"/>
  <c r="F64" i="9" s="1"/>
  <c r="E18" i="9"/>
  <c r="D18" i="9"/>
  <c r="C18" i="9"/>
  <c r="H17" i="9"/>
  <c r="H16" i="9"/>
  <c r="H15" i="9"/>
  <c r="H14" i="9"/>
  <c r="H13" i="9"/>
  <c r="H12" i="9"/>
  <c r="H11" i="9"/>
  <c r="H10" i="9"/>
  <c r="H9" i="9"/>
  <c r="G8" i="9"/>
  <c r="G64" i="9" s="1"/>
  <c r="F8" i="9"/>
  <c r="E8" i="9"/>
  <c r="D8" i="9"/>
  <c r="C8" i="9"/>
  <c r="E64" i="9" l="1"/>
  <c r="H50" i="9"/>
  <c r="H61" i="9"/>
  <c r="H18" i="9"/>
  <c r="H8" i="9"/>
  <c r="N42" i="9"/>
  <c r="O42" i="9" s="1"/>
  <c r="G22" i="9"/>
  <c r="H27" i="9"/>
  <c r="J27" i="9"/>
  <c r="J64" i="9" s="1"/>
  <c r="N63" i="9"/>
  <c r="H45" i="9"/>
  <c r="N61" i="9" l="1"/>
  <c r="H22" i="9"/>
  <c r="H64" i="9" s="1"/>
  <c r="K49" i="9" l="1"/>
  <c r="M49" i="9"/>
  <c r="M24" i="9"/>
  <c r="K24" i="9"/>
  <c r="M51" i="9"/>
  <c r="K51" i="9"/>
  <c r="I50" i="9"/>
  <c r="K57" i="9"/>
  <c r="M57" i="9"/>
  <c r="M33" i="9"/>
  <c r="K33" i="9"/>
  <c r="M53" i="9"/>
  <c r="K53" i="9"/>
  <c r="M60" i="9"/>
  <c r="K60" i="9"/>
  <c r="N60" i="9" s="1"/>
  <c r="I18" i="9"/>
  <c r="M18" i="9" s="1"/>
  <c r="K19" i="9"/>
  <c r="M19" i="9"/>
  <c r="M38" i="9"/>
  <c r="K38" i="9"/>
  <c r="N19" i="9" l="1"/>
  <c r="L19" i="9"/>
  <c r="K14" i="9"/>
  <c r="M14" i="9"/>
  <c r="M23" i="9"/>
  <c r="K23" i="9"/>
  <c r="I22" i="9"/>
  <c r="M22" i="9" s="1"/>
  <c r="M35" i="9"/>
  <c r="K35" i="9"/>
  <c r="N35" i="9" s="1"/>
  <c r="M17" i="9"/>
  <c r="K17" i="9"/>
  <c r="K59" i="9"/>
  <c r="M59" i="9"/>
  <c r="M12" i="9"/>
  <c r="K12" i="9"/>
  <c r="K40" i="9"/>
  <c r="M40" i="9"/>
  <c r="K13" i="9"/>
  <c r="M13" i="9"/>
  <c r="L49" i="9"/>
  <c r="N49" i="9"/>
  <c r="O49" i="9" s="1"/>
  <c r="N38" i="9"/>
  <c r="O38" i="9" s="1"/>
  <c r="L38" i="9"/>
  <c r="M32" i="9"/>
  <c r="K32" i="9"/>
  <c r="K34" i="9"/>
  <c r="M34" i="9"/>
  <c r="M41" i="9"/>
  <c r="K41" i="9"/>
  <c r="N41" i="9" s="1"/>
  <c r="N33" i="9"/>
  <c r="L33" i="9"/>
  <c r="I45" i="9"/>
  <c r="M45" i="9" s="1"/>
  <c r="M46" i="9"/>
  <c r="K46" i="9"/>
  <c r="M31" i="9"/>
  <c r="K31" i="9"/>
  <c r="N24" i="9"/>
  <c r="O24" i="9" s="1"/>
  <c r="L24" i="9"/>
  <c r="K25" i="9"/>
  <c r="M25" i="9"/>
  <c r="M37" i="9"/>
  <c r="K37" i="9"/>
  <c r="M16" i="9"/>
  <c r="K16" i="9"/>
  <c r="L53" i="9"/>
  <c r="N53" i="9"/>
  <c r="O53" i="9" s="1"/>
  <c r="K10" i="9"/>
  <c r="N10" i="9" s="1"/>
  <c r="M10" i="9"/>
  <c r="M20" i="9"/>
  <c r="K20" i="9"/>
  <c r="N20" i="9" s="1"/>
  <c r="K50" i="9"/>
  <c r="M50" i="9"/>
  <c r="M54" i="9"/>
  <c r="K54" i="9"/>
  <c r="M26" i="9"/>
  <c r="K26" i="9"/>
  <c r="N26" i="9" s="1"/>
  <c r="M52" i="9"/>
  <c r="K52" i="9"/>
  <c r="N52" i="9" s="1"/>
  <c r="K36" i="9"/>
  <c r="M36" i="9"/>
  <c r="K30" i="9"/>
  <c r="M30" i="9"/>
  <c r="M39" i="9"/>
  <c r="K39" i="9"/>
  <c r="K56" i="9"/>
  <c r="M56" i="9"/>
  <c r="L57" i="9"/>
  <c r="N57" i="9"/>
  <c r="O57" i="9" s="1"/>
  <c r="N51" i="9"/>
  <c r="L51" i="9"/>
  <c r="M15" i="9"/>
  <c r="K15" i="9"/>
  <c r="O51" i="9" l="1"/>
  <c r="L31" i="9"/>
  <c r="N31" i="9"/>
  <c r="O31" i="9" s="1"/>
  <c r="N46" i="9"/>
  <c r="L46" i="9"/>
  <c r="L40" i="9"/>
  <c r="N40" i="9"/>
  <c r="O40" i="9" s="1"/>
  <c r="L59" i="9"/>
  <c r="N59" i="9"/>
  <c r="O59" i="9" s="1"/>
  <c r="N23" i="9"/>
  <c r="K22" i="9"/>
  <c r="L22" i="9" s="1"/>
  <c r="O19" i="9"/>
  <c r="L54" i="9"/>
  <c r="N54" i="9"/>
  <c r="O54" i="9" s="1"/>
  <c r="L16" i="9"/>
  <c r="N16" i="9"/>
  <c r="O16" i="9" s="1"/>
  <c r="L17" i="9"/>
  <c r="N17" i="9"/>
  <c r="O17" i="9" s="1"/>
  <c r="N56" i="9"/>
  <c r="O56" i="9" s="1"/>
  <c r="L56" i="9"/>
  <c r="N25" i="9"/>
  <c r="O25" i="9" s="1"/>
  <c r="L25" i="9"/>
  <c r="L34" i="9"/>
  <c r="N34" i="9"/>
  <c r="O34" i="9" s="1"/>
  <c r="N13" i="9"/>
  <c r="O13" i="9" s="1"/>
  <c r="L13" i="9"/>
  <c r="L15" i="9"/>
  <c r="N15" i="9"/>
  <c r="O15" i="9" s="1"/>
  <c r="N39" i="9"/>
  <c r="O39" i="9" s="1"/>
  <c r="L39" i="9"/>
  <c r="L30" i="9"/>
  <c r="N30" i="9"/>
  <c r="O30" i="9" s="1"/>
  <c r="L36" i="9"/>
  <c r="N36" i="9"/>
  <c r="O36" i="9" s="1"/>
  <c r="L37" i="9"/>
  <c r="N37" i="9"/>
  <c r="O37" i="9" s="1"/>
  <c r="L32" i="9"/>
  <c r="N32" i="9"/>
  <c r="O32" i="9" s="1"/>
  <c r="N12" i="9"/>
  <c r="O12" i="9" s="1"/>
  <c r="L12" i="9"/>
  <c r="N14" i="9"/>
  <c r="O14" i="9" s="1"/>
  <c r="L14" i="9"/>
  <c r="L50" i="9"/>
  <c r="N22" i="9" l="1"/>
  <c r="O22" i="9" s="1"/>
  <c r="O46" i="9"/>
  <c r="K47" i="9" l="1"/>
  <c r="M47" i="9"/>
  <c r="K11" i="9"/>
  <c r="M11" i="9"/>
  <c r="M58" i="9"/>
  <c r="K58" i="9"/>
  <c r="K48" i="9"/>
  <c r="M48" i="9"/>
  <c r="K29" i="9"/>
  <c r="M29" i="9"/>
  <c r="M9" i="9"/>
  <c r="K9" i="9"/>
  <c r="I8" i="9"/>
  <c r="M55" i="9"/>
  <c r="K55" i="9"/>
  <c r="I27" i="9"/>
  <c r="M27" i="9" s="1"/>
  <c r="M28" i="9"/>
  <c r="K28" i="9"/>
  <c r="I64" i="9" l="1"/>
  <c r="M8" i="9"/>
  <c r="M64" i="9" s="1"/>
  <c r="L48" i="9"/>
  <c r="N48" i="9"/>
  <c r="O48" i="9" s="1"/>
  <c r="L58" i="9"/>
  <c r="N58" i="9"/>
  <c r="O58" i="9" s="1"/>
  <c r="L9" i="9"/>
  <c r="N9" i="9"/>
  <c r="K8" i="9"/>
  <c r="L8" i="9" s="1"/>
  <c r="K21" i="9"/>
  <c r="M21" i="9"/>
  <c r="N47" i="9"/>
  <c r="L47" i="9"/>
  <c r="K45" i="9"/>
  <c r="K27" i="9"/>
  <c r="L27" i="9" s="1"/>
  <c r="N28" i="9"/>
  <c r="L28" i="9"/>
  <c r="L55" i="9"/>
  <c r="N55" i="9"/>
  <c r="L29" i="9"/>
  <c r="N29" i="9"/>
  <c r="O29" i="9" s="1"/>
  <c r="L11" i="9"/>
  <c r="N11" i="9"/>
  <c r="O11" i="9" s="1"/>
  <c r="O55" i="9" l="1"/>
  <c r="N50" i="9"/>
  <c r="O50" i="9" s="1"/>
  <c r="O47" i="9"/>
  <c r="N45" i="9"/>
  <c r="O45" i="9" s="1"/>
  <c r="N21" i="9"/>
  <c r="N18" i="9" s="1"/>
  <c r="O18" i="9" s="1"/>
  <c r="K18" i="9"/>
  <c r="L18" i="9" s="1"/>
  <c r="O9" i="9"/>
  <c r="N8" i="9"/>
  <c r="L45" i="9"/>
  <c r="O28" i="9"/>
  <c r="N27" i="9"/>
  <c r="O27" i="9" s="1"/>
  <c r="N64" i="9" l="1"/>
  <c r="O64" i="9" s="1"/>
  <c r="K64" i="9"/>
  <c r="L64" i="9" s="1"/>
  <c r="O8" i="9"/>
</calcChain>
</file>

<file path=xl/sharedStrings.xml><?xml version="1.0" encoding="utf-8"?>
<sst xmlns="http://schemas.openxmlformats.org/spreadsheetml/2006/main" count="816" uniqueCount="231">
  <si>
    <t>CONTRALORIA DEPARTAMENTAL DEL GUAVIARE</t>
  </si>
  <si>
    <t>EJECUCION PRESUPUESTAL  DE  GASTOS</t>
  </si>
  <si>
    <t>CODIG</t>
  </si>
  <si>
    <t>CONCEPTO</t>
  </si>
  <si>
    <t>APROPIACIÒN</t>
  </si>
  <si>
    <t>REDUCCION</t>
  </si>
  <si>
    <t>ADICION</t>
  </si>
  <si>
    <t>CREDITOS</t>
  </si>
  <si>
    <t>CONTRA</t>
  </si>
  <si>
    <t>TOTAL</t>
  </si>
  <si>
    <t>EJECUCIÒN</t>
  </si>
  <si>
    <t>EJECUCION</t>
  </si>
  <si>
    <t xml:space="preserve">TOTAL </t>
  </si>
  <si>
    <t>%</t>
  </si>
  <si>
    <t>SALDO</t>
  </si>
  <si>
    <t>INICIAL</t>
  </si>
  <si>
    <t xml:space="preserve">MESES  ANTER. </t>
  </si>
  <si>
    <t>MES</t>
  </si>
  <si>
    <t>EJECUTADO</t>
  </si>
  <si>
    <t>DISPONIBLE</t>
  </si>
  <si>
    <t>20201101</t>
  </si>
  <si>
    <t>SERVICIOS PERSONALES</t>
  </si>
  <si>
    <t>2020110101</t>
  </si>
  <si>
    <t>SUELDO PERSONAL NOMINA</t>
  </si>
  <si>
    <t>2020110102</t>
  </si>
  <si>
    <t>GASTOS DE REPRESENTACION</t>
  </si>
  <si>
    <t>2020110103</t>
  </si>
  <si>
    <t>AUXILIO DE TRANSPORTE</t>
  </si>
  <si>
    <t>2020110104</t>
  </si>
  <si>
    <t>SUBSIDIO DE ALIMENTACIÒN</t>
  </si>
  <si>
    <t>2020110105</t>
  </si>
  <si>
    <t>BONIFICACION SERV. PRESTADOS</t>
  </si>
  <si>
    <t>2020110106</t>
  </si>
  <si>
    <t>PRIMA SEMESTRAL</t>
  </si>
  <si>
    <t>2020110107</t>
  </si>
  <si>
    <t>PRIMA DE VACACIONES</t>
  </si>
  <si>
    <t>VACACIONES COMPENSADAS</t>
  </si>
  <si>
    <t>PRIMA DE NAVIDAD</t>
  </si>
  <si>
    <t>20201102</t>
  </si>
  <si>
    <t>SERVICIOS PERSONAlES INDIRECTOS</t>
  </si>
  <si>
    <t>2020110201</t>
  </si>
  <si>
    <t>HONOR. SERV. PROFESIONALES</t>
  </si>
  <si>
    <t>2020110202</t>
  </si>
  <si>
    <t>SERVICIOS TECNICOS</t>
  </si>
  <si>
    <t>2020110203</t>
  </si>
  <si>
    <t>SUPERNUMERARIOS</t>
  </si>
  <si>
    <t>20201201</t>
  </si>
  <si>
    <t>GASTOS GENERALES, ADQUISICIÓN DE BIENES</t>
  </si>
  <si>
    <t>2020120101</t>
  </si>
  <si>
    <t>COMPRA DE EQUIPO</t>
  </si>
  <si>
    <t>2020120102</t>
  </si>
  <si>
    <t>MATERIALES Y SUMUNISTROS</t>
  </si>
  <si>
    <t>2020120104</t>
  </si>
  <si>
    <t>UNIFORMES Y DOTACION</t>
  </si>
  <si>
    <t>2020120105</t>
  </si>
  <si>
    <t>COMPRA SEDE</t>
  </si>
  <si>
    <t>20201202</t>
  </si>
  <si>
    <t>GASTOS GENERALES ADQUISICIÓN DE SERVICIOS</t>
  </si>
  <si>
    <t>2020120201</t>
  </si>
  <si>
    <t>MANTENIMIENTO Y REPARACIÓN</t>
  </si>
  <si>
    <t>2020120202</t>
  </si>
  <si>
    <t>VIATICOS  Y GASTOS DE VIAJE</t>
  </si>
  <si>
    <t>2020120203</t>
  </si>
  <si>
    <t>IMPRESOS Y PUBLICACIONES</t>
  </si>
  <si>
    <t>2020120204</t>
  </si>
  <si>
    <t>SERVICIOS PUBLICOS ENERGIA</t>
  </si>
  <si>
    <t>2020120205</t>
  </si>
  <si>
    <t>SERVICIOS PUBLICOS TELECOMUNICACIONES</t>
  </si>
  <si>
    <t>2020120206</t>
  </si>
  <si>
    <t>SERVICIOS PUBLICOS ALCANTARILLADO</t>
  </si>
  <si>
    <t>2020120207</t>
  </si>
  <si>
    <t>COMUNICACIONES Y TRANSPORTE</t>
  </si>
  <si>
    <t>2020120208</t>
  </si>
  <si>
    <t>ARRENDAMIENTO Y ALQUILER</t>
  </si>
  <si>
    <t>2020120209</t>
  </si>
  <si>
    <t>SEGUROS</t>
  </si>
  <si>
    <t>2020120210</t>
  </si>
  <si>
    <t>CAPACITACIÓN</t>
  </si>
  <si>
    <t>2020120211</t>
  </si>
  <si>
    <t>CONGRESOS FOROS Y SEMINARIOS</t>
  </si>
  <si>
    <t>2020120212</t>
  </si>
  <si>
    <t>BIENESTAR SOCIAL</t>
  </si>
  <si>
    <t>2020120213</t>
  </si>
  <si>
    <t>FOMENTO DEPORTIVO</t>
  </si>
  <si>
    <t>2020120214</t>
  </si>
  <si>
    <t>GASTOS VINCULACIÓN DE PERSONAL</t>
  </si>
  <si>
    <t>20201103</t>
  </si>
  <si>
    <t>CONTRIBUCIONES INHERENTES A LA NOMINA PRIVADO</t>
  </si>
  <si>
    <t>2020110301</t>
  </si>
  <si>
    <t>CESANTÍAS</t>
  </si>
  <si>
    <t>2020110302</t>
  </si>
  <si>
    <t>APORTES SERVICIOS MEDICOS</t>
  </si>
  <si>
    <t>APORTES PENSIONES</t>
  </si>
  <si>
    <t>INTERESES CESANTIAS</t>
  </si>
  <si>
    <t>CONTRIBUCIONES INHERENTES A LA NOMINA PUBLICO</t>
  </si>
  <si>
    <t>2020110401</t>
  </si>
  <si>
    <t>CESANTIAS</t>
  </si>
  <si>
    <t>2020110402</t>
  </si>
  <si>
    <t>2020110403</t>
  </si>
  <si>
    <t>ACCIDENTES Y RIESGOS LARORALES</t>
  </si>
  <si>
    <t>2020110404</t>
  </si>
  <si>
    <t>2020110405</t>
  </si>
  <si>
    <t>CAJA DE COMP.FAMILIAR 4%</t>
  </si>
  <si>
    <t>2020110406</t>
  </si>
  <si>
    <t>I.C.B.F.</t>
  </si>
  <si>
    <t>2020110407</t>
  </si>
  <si>
    <t>ESAP 0.5%</t>
  </si>
  <si>
    <t>2020110408</t>
  </si>
  <si>
    <t>SENA 0.5%</t>
  </si>
  <si>
    <t>2020110409</t>
  </si>
  <si>
    <t>ESCUELAS IND. E INST.TÉCNICOS</t>
  </si>
  <si>
    <t>2020110410</t>
  </si>
  <si>
    <t>PASIVOS EXIGIBLES VIG. ANTERIORES</t>
  </si>
  <si>
    <t>TOTALES</t>
  </si>
  <si>
    <t>RESPONSABLE</t>
  </si>
  <si>
    <t>NOHEMILCE QUINTERO CETINA - DIRECTORA ADMINISTRATIVA Y FINANCIERA</t>
  </si>
  <si>
    <t>TRANSFERENCIAS CORRIENTES</t>
  </si>
  <si>
    <t>Sentencias Judiciales</t>
  </si>
  <si>
    <t>SALUD OCUPACIONAL</t>
  </si>
  <si>
    <t>RESUMEN DE INGRESOS</t>
  </si>
  <si>
    <t>RENGLON RENTISTICO</t>
  </si>
  <si>
    <t xml:space="preserve">PRESUPUESTO </t>
  </si>
  <si>
    <t>ADICIONES</t>
  </si>
  <si>
    <t>REDUCCIONES</t>
  </si>
  <si>
    <t>RECAUDOS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</si>
  <si>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</si>
  <si>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</si>
  <si>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</si>
  <si>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</si>
  <si>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</si>
  <si>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</si>
  <si>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</si>
  <si>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</si>
  <si>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</si>
  <si>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</si>
  <si>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</si>
  <si>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</si>
  <si>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PAC</t>
  </si>
  <si>
    <t xml:space="preserve"> </t>
  </si>
  <si>
    <t>EFECTIVOS</t>
  </si>
  <si>
    <t>APORTE DEPARTAMENTO</t>
  </si>
  <si>
    <t>ESE HOSPITAL SAN JOSÉ</t>
  </si>
  <si>
    <t>APORTE INSTITUTO DEPTAL DEPORTE</t>
  </si>
  <si>
    <t>ENERGUAVIARE</t>
  </si>
  <si>
    <t>ESE RED DE SERVICIOS PRIMER NIVEL</t>
  </si>
  <si>
    <t>RENTAS POR COBRAR</t>
  </si>
  <si>
    <t>SALDO EFECTIVO  (CAJA Y BANCOS)</t>
  </si>
  <si>
    <t>TOTAL DISPONIBLE</t>
  </si>
  <si>
    <t>APROPIACION</t>
  </si>
  <si>
    <t>CONTRACREDI</t>
  </si>
  <si>
    <t xml:space="preserve">GASTOS </t>
  </si>
  <si>
    <t>SERVICIOS PERSONALES INDIRECTOS</t>
  </si>
  <si>
    <t>GASTOS GENERALES</t>
  </si>
  <si>
    <t>ADQUISICIÓN DE BIENES</t>
  </si>
  <si>
    <t>ADQUISICIÓN DE SERVICIOS</t>
  </si>
  <si>
    <t>CONT. IN. A LA NOMINA PRIVADO</t>
  </si>
  <si>
    <t>CONT. INHERENTES A NOMINA PUBLICO</t>
  </si>
  <si>
    <t>TOTAL GASTOS</t>
  </si>
  <si>
    <t>JUAN PABLO RAMIREZ PALACIO</t>
  </si>
  <si>
    <t>Contralor Departamental del Guaviare</t>
  </si>
  <si>
    <t>NOHEMILCE QUINTERO CETINA</t>
  </si>
  <si>
    <t>PROGRAMA ANUAL MENSUALIZADO DE CAJA -INGRESOS AÑO 2018</t>
  </si>
  <si>
    <t xml:space="preserve">                                           PROGRAMA ANUAL MENSUALIZADO DE CAJA -EGRESOS AÑO 2018</t>
  </si>
  <si>
    <t>INGRESOS 2018</t>
  </si>
  <si>
    <t xml:space="preserve"> Directora Administrativo y Financiero</t>
  </si>
  <si>
    <t>SENTENCIAS JUDICIALES</t>
  </si>
  <si>
    <t>SALDO DISPONIBLE</t>
  </si>
  <si>
    <t>FECHA</t>
  </si>
  <si>
    <t>APROPIACION INICIAL</t>
  </si>
  <si>
    <t>APROPIACIÓN TOTAL</t>
  </si>
  <si>
    <t>CONTRA CREDITO</t>
  </si>
  <si>
    <t>ENERO DE 2018</t>
  </si>
  <si>
    <t>CREDITO RES 001*2017</t>
  </si>
  <si>
    <t>COLOMBIA TELECOMUNICACIONES</t>
  </si>
  <si>
    <t>EMPOAGUAS</t>
  </si>
  <si>
    <t>AMBIENTAR</t>
  </si>
  <si>
    <t>DIRECTV COLOMBIA LTDA</t>
  </si>
  <si>
    <t>CERTICAMARA</t>
  </si>
  <si>
    <t>17/01/018</t>
  </si>
  <si>
    <t>CONTRATO 01-2018 MEDIO AMBIENTE</t>
  </si>
  <si>
    <t>CONTRATO 02-2018 CONTADOR</t>
  </si>
  <si>
    <t>CONTRATO 03-2018 FINANZAS PUBLICAS</t>
  </si>
  <si>
    <t>CONTRARO 004-2018 AVALUO</t>
  </si>
  <si>
    <t>NOMINA ENERO</t>
  </si>
  <si>
    <t>ADICIÓN RES 06-2018</t>
  </si>
  <si>
    <t>TRASLADO RES 01-2018</t>
  </si>
  <si>
    <t>APERTURA CAJA MENOR</t>
  </si>
  <si>
    <t xml:space="preserve"> 01/02/2018</t>
  </si>
  <si>
    <t>ROLBIN ANDRES GOMEZ GUTIERREZ</t>
  </si>
  <si>
    <t>NOMINA ENERO APORTES PORVENIR</t>
  </si>
  <si>
    <t>NOMINA ENERO APORTES A COLPENSIONES</t>
  </si>
  <si>
    <t>GASTOS BANCARIOS</t>
  </si>
  <si>
    <t>GASTOS FINANCIEROS</t>
  </si>
  <si>
    <t>CISNET INTERNET</t>
  </si>
  <si>
    <t>16/022018</t>
  </si>
  <si>
    <t>CONTRto 005 de 2018|</t>
  </si>
  <si>
    <t>LUZ ALEIDA RICO TRIANA</t>
  </si>
  <si>
    <t>EDILBERTO GIRALDO JIMENEZ</t>
  </si>
  <si>
    <t>YULY ANDREA SERNA DIEZ</t>
  </si>
  <si>
    <t>EDWIN YESID BORRERO BRAGA</t>
  </si>
  <si>
    <t>NOMINA FEBRERO</t>
  </si>
  <si>
    <t>AJUSTE MAYOR VALOR PAGADO</t>
  </si>
  <si>
    <t>AJUSTE MAYOR VALOR GIRADO</t>
  </si>
  <si>
    <t xml:space="preserve">LUZ ALEIDA RICO TRIANA </t>
  </si>
  <si>
    <t>NOMINA FEBRERO APORTES PORVENIR</t>
  </si>
  <si>
    <t>NOMINA FEBRERO APORTES A COLPENSIONES</t>
  </si>
  <si>
    <t>CESANTIAS FNA</t>
  </si>
  <si>
    <t>PAGO SALDO CESANTIAS 2017</t>
  </si>
  <si>
    <t>FEBRERO DE 2018</t>
  </si>
  <si>
    <t>PRORROGA POLIZAS</t>
  </si>
  <si>
    <t>NOMINA MARZO</t>
  </si>
  <si>
    <t>MARZO APORTES PORVENIR</t>
  </si>
  <si>
    <t>MARZO APORTES A COLPENSIONES</t>
  </si>
  <si>
    <t>TRASLADO RES 023-2018</t>
  </si>
  <si>
    <t>REEMBOLSO CAJA MENOR</t>
  </si>
  <si>
    <t>ADICION RESOLUCION 030 -2018</t>
  </si>
  <si>
    <t>CONTRATO  006-2018</t>
  </si>
  <si>
    <t>ADICION RES 030-2018</t>
  </si>
  <si>
    <t>CREDITO NOMINA -res 23-2018</t>
  </si>
  <si>
    <t>CONTRATO 007-2018 LA PREVISORA</t>
  </si>
  <si>
    <t>MARZO DE 2018</t>
  </si>
  <si>
    <t>TOTAL EJECUTADO</t>
  </si>
  <si>
    <t>CREDITO NOMINA RES 01-2018</t>
  </si>
  <si>
    <t>EDGAR PINZÓN CORZO</t>
  </si>
  <si>
    <t>COMPRA DE LLANTAS</t>
  </si>
  <si>
    <t>ABRIL PROVENIR</t>
  </si>
  <si>
    <t>ABRIL APORTES AL COLPENSIONES</t>
  </si>
  <si>
    <t>MARY LUCY CASTRO HERRERA</t>
  </si>
  <si>
    <t>AVIANCA - CONGRESO CONTTRALORES FLORENCIA CAQUETA</t>
  </si>
  <si>
    <t>AVIANCA - SEMINARIO PRES DIPLOMADO BUCARAMGA</t>
  </si>
  <si>
    <t>FOBISCE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</si>
</sst>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-* #,##0.00\ _€_-;\-* #,##0.00\ _€_-;_-* &quot;-&quot;??\ _€_-;_-@_-"/>
    <numFmt numFmtId="165" formatCode="_ * #,##0.00_ ;_ * \-#,##0.00_ ;_ * &quot;-&quot;??_ ;_ @_ "/>
    <numFmt numFmtId="166" formatCode="_ * #,##0_ ;_ * \-#,##0_ ;_ * &quot;-&quot;??_ ;_ @_ "/>
    <numFmt numFmtId="167" formatCode="_(* #,##0.00_);_(* \(#,##0.00\);_(* &quot;-&quot;??_);_(@_)"/>
  </numFmts>
  <fonts count="2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u/>
      <sz val="11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0" borderId="0"/>
    <xf numFmtId="167" fontId="2" fillId="0" borderId="0" applyFont="0" applyFill="0" applyBorder="0" applyAlignment="0" applyProtection="0"/>
    <xf numFmtId="0" fontId="1" fillId="0" borderId="0"/>
    <xf numFmtId="164" fontId="2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1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372">
    <xf numFmtId="0" fontId="0" fillId="0" borderId="0" xfId="0"/>
    <xf numFmtId="0" fontId="2" fillId="0" borderId="0" xfId="1"/>
    <xf numFmtId="0" fontId="3" fillId="2" borderId="0" xfId="1" applyFont="1" applyFill="1"/>
    <xf numFmtId="0" fontId="2" fillId="2" borderId="0" xfId="1" applyFill="1" applyBorder="1"/>
    <xf numFmtId="0" fontId="6" fillId="2" borderId="0" xfId="1" applyFont="1" applyFill="1"/>
    <xf numFmtId="166" fontId="6" fillId="2" borderId="0" xfId="4" applyNumberFormat="1" applyFont="1" applyFill="1"/>
    <xf numFmtId="0" fontId="6" fillId="0" borderId="0" xfId="1" applyFont="1" applyFill="1"/>
    <xf numFmtId="0" fontId="4" fillId="0" borderId="16" xfId="1" applyFont="1" applyBorder="1" applyAlignment="1">
      <alignment horizontal="center"/>
    </xf>
    <xf numFmtId="0" fontId="8" fillId="0" borderId="3" xfId="1" applyFont="1" applyBorder="1"/>
    <xf numFmtId="0" fontId="8" fillId="0" borderId="6" xfId="1" applyFont="1" applyBorder="1"/>
    <xf numFmtId="0" fontId="8" fillId="0" borderId="6" xfId="1" applyFont="1" applyFill="1" applyBorder="1"/>
    <xf numFmtId="4" fontId="8" fillId="0" borderId="6" xfId="1" applyNumberFormat="1" applyFont="1" applyBorder="1"/>
    <xf numFmtId="166" fontId="8" fillId="0" borderId="4" xfId="4" applyNumberFormat="1" applyFont="1" applyBorder="1"/>
    <xf numFmtId="0" fontId="8" fillId="0" borderId="4" xfId="1" applyFont="1" applyBorder="1"/>
    <xf numFmtId="0" fontId="2" fillId="0" borderId="14" xfId="1" applyBorder="1"/>
    <xf numFmtId="9" fontId="8" fillId="0" borderId="1" xfId="1" applyNumberFormat="1" applyFont="1" applyBorder="1" applyAlignment="1">
      <alignment horizontal="right"/>
    </xf>
    <xf numFmtId="166" fontId="8" fillId="0" borderId="1" xfId="4" applyNumberFormat="1" applyFont="1" applyBorder="1" applyAlignment="1">
      <alignment horizontal="right"/>
    </xf>
    <xf numFmtId="9" fontId="8" fillId="0" borderId="16" xfId="1" applyNumberFormat="1" applyFont="1" applyBorder="1" applyAlignment="1">
      <alignment horizontal="center"/>
    </xf>
    <xf numFmtId="0" fontId="6" fillId="0" borderId="16" xfId="1" applyFont="1" applyBorder="1" applyAlignment="1"/>
    <xf numFmtId="0" fontId="2" fillId="0" borderId="2" xfId="1" applyFont="1" applyBorder="1"/>
    <xf numFmtId="3" fontId="6" fillId="0" borderId="1" xfId="1" applyNumberFormat="1" applyFont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3" fontId="9" fillId="3" borderId="1" xfId="1" applyNumberFormat="1" applyFont="1" applyFill="1" applyBorder="1" applyAlignment="1">
      <alignment horizontal="right"/>
    </xf>
    <xf numFmtId="166" fontId="6" fillId="0" borderId="1" xfId="4" applyNumberFormat="1" applyFont="1" applyBorder="1" applyAlignment="1">
      <alignment horizontal="right"/>
    </xf>
    <xf numFmtId="3" fontId="6" fillId="0" borderId="5" xfId="1" applyNumberFormat="1" applyFont="1" applyBorder="1" applyAlignment="1">
      <alignment horizontal="right"/>
    </xf>
    <xf numFmtId="166" fontId="10" fillId="2" borderId="1" xfId="4" applyNumberFormat="1" applyFont="1" applyFill="1" applyBorder="1"/>
    <xf numFmtId="0" fontId="6" fillId="0" borderId="16" xfId="1" applyFont="1" applyBorder="1" applyAlignment="1">
      <alignment horizontal="left"/>
    </xf>
    <xf numFmtId="166" fontId="10" fillId="2" borderId="17" xfId="4" applyNumberFormat="1" applyFont="1" applyFill="1" applyBorder="1"/>
    <xf numFmtId="0" fontId="2" fillId="2" borderId="2" xfId="1" applyFont="1" applyFill="1" applyBorder="1"/>
    <xf numFmtId="3" fontId="2" fillId="0" borderId="18" xfId="4" applyNumberFormat="1" applyFont="1" applyFill="1" applyBorder="1" applyAlignment="1">
      <alignment horizontal="right" vertical="center"/>
    </xf>
    <xf numFmtId="3" fontId="2" fillId="0" borderId="18" xfId="1" applyNumberFormat="1" applyFont="1" applyBorder="1" applyAlignment="1">
      <alignment horizontal="right" vertical="center"/>
    </xf>
    <xf numFmtId="0" fontId="2" fillId="0" borderId="2" xfId="1" applyFont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9" fontId="8" fillId="2" borderId="16" xfId="1" applyNumberFormat="1" applyFont="1" applyFill="1" applyBorder="1" applyAlignment="1">
      <alignment horizontal="center"/>
    </xf>
    <xf numFmtId="3" fontId="6" fillId="4" borderId="1" xfId="1" applyNumberFormat="1" applyFont="1" applyFill="1" applyBorder="1" applyAlignment="1">
      <alignment horizontal="right"/>
    </xf>
    <xf numFmtId="166" fontId="2" fillId="0" borderId="0" xfId="1" applyNumberFormat="1"/>
    <xf numFmtId="3" fontId="8" fillId="4" borderId="1" xfId="1" applyNumberFormat="1" applyFont="1" applyFill="1" applyBorder="1" applyAlignment="1">
      <alignment horizontal="right"/>
    </xf>
    <xf numFmtId="166" fontId="10" fillId="5" borderId="1" xfId="4" applyNumberFormat="1" applyFont="1" applyFill="1" applyBorder="1"/>
    <xf numFmtId="3" fontId="2" fillId="0" borderId="0" xfId="1" applyNumberFormat="1"/>
    <xf numFmtId="166" fontId="0" fillId="0" borderId="0" xfId="4" applyNumberFormat="1" applyFont="1"/>
    <xf numFmtId="3" fontId="11" fillId="0" borderId="0" xfId="1" applyNumberFormat="1" applyFont="1"/>
    <xf numFmtId="166" fontId="10" fillId="2" borderId="1" xfId="2" applyNumberFormat="1" applyFont="1" applyFill="1" applyBorder="1"/>
    <xf numFmtId="166" fontId="12" fillId="2" borderId="1" xfId="2" applyNumberFormat="1" applyFont="1" applyFill="1" applyBorder="1"/>
    <xf numFmtId="166" fontId="10" fillId="2" borderId="19" xfId="2" applyNumberFormat="1" applyFont="1" applyFill="1" applyBorder="1"/>
    <xf numFmtId="3" fontId="8" fillId="7" borderId="1" xfId="1" applyNumberFormat="1" applyFont="1" applyFill="1" applyBorder="1" applyAlignment="1">
      <alignment horizontal="right"/>
    </xf>
    <xf numFmtId="0" fontId="14" fillId="8" borderId="10" xfId="1" applyFont="1" applyFill="1" applyBorder="1"/>
    <xf numFmtId="0" fontId="14" fillId="8" borderId="9" xfId="1" applyFont="1" applyFill="1" applyBorder="1"/>
    <xf numFmtId="0" fontId="14" fillId="8" borderId="7" xfId="1" applyFont="1" applyFill="1" applyBorder="1" applyAlignment="1">
      <alignment horizontal="center"/>
    </xf>
    <xf numFmtId="0" fontId="14" fillId="8" borderId="10" xfId="1" applyFont="1" applyFill="1" applyBorder="1" applyAlignment="1">
      <alignment horizontal="center"/>
    </xf>
    <xf numFmtId="0" fontId="14" fillId="8" borderId="9" xfId="1" applyFont="1" applyFill="1" applyBorder="1" applyAlignment="1">
      <alignment horizontal="center"/>
    </xf>
    <xf numFmtId="166" fontId="14" fillId="8" borderId="8" xfId="4" applyNumberFormat="1" applyFont="1" applyFill="1" applyBorder="1" applyAlignment="1">
      <alignment horizontal="center"/>
    </xf>
    <xf numFmtId="0" fontId="15" fillId="8" borderId="10" xfId="1" applyFont="1" applyFill="1" applyBorder="1" applyAlignment="1">
      <alignment horizontal="center"/>
    </xf>
    <xf numFmtId="0" fontId="14" fillId="8" borderId="14" xfId="1" applyFont="1" applyFill="1" applyBorder="1"/>
    <xf numFmtId="0" fontId="14" fillId="8" borderId="13" xfId="1" applyFont="1" applyFill="1" applyBorder="1" applyAlignment="1">
      <alignment horizontal="right"/>
    </xf>
    <xf numFmtId="0" fontId="14" fillId="8" borderId="11" xfId="1" applyFont="1" applyFill="1" applyBorder="1" applyAlignment="1">
      <alignment horizontal="center"/>
    </xf>
    <xf numFmtId="0" fontId="14" fillId="8" borderId="15" xfId="1" applyFont="1" applyFill="1" applyBorder="1" applyAlignment="1">
      <alignment horizontal="center"/>
    </xf>
    <xf numFmtId="0" fontId="14" fillId="8" borderId="13" xfId="1" applyFont="1" applyFill="1" applyBorder="1"/>
    <xf numFmtId="0" fontId="14" fillId="8" borderId="13" xfId="1" applyFont="1" applyFill="1" applyBorder="1" applyAlignment="1">
      <alignment horizontal="center"/>
    </xf>
    <xf numFmtId="166" fontId="14" fillId="8" borderId="12" xfId="4" applyNumberFormat="1" applyFont="1" applyFill="1" applyBorder="1" applyAlignment="1">
      <alignment horizontal="center"/>
    </xf>
    <xf numFmtId="0" fontId="15" fillId="8" borderId="15" xfId="1" applyFont="1" applyFill="1" applyBorder="1"/>
    <xf numFmtId="166" fontId="4" fillId="7" borderId="1" xfId="2" applyNumberFormat="1" applyFont="1" applyFill="1" applyBorder="1"/>
    <xf numFmtId="3" fontId="6" fillId="7" borderId="1" xfId="1" applyNumberFormat="1" applyFont="1" applyFill="1" applyBorder="1" applyAlignment="1">
      <alignment horizontal="right"/>
    </xf>
    <xf numFmtId="3" fontId="16" fillId="7" borderId="1" xfId="1" applyNumberFormat="1" applyFont="1" applyFill="1" applyBorder="1" applyAlignment="1">
      <alignment horizontal="right"/>
    </xf>
    <xf numFmtId="0" fontId="7" fillId="6" borderId="14" xfId="1" applyFont="1" applyFill="1" applyBorder="1" applyAlignment="1">
      <alignment vertical="center"/>
    </xf>
    <xf numFmtId="0" fontId="7" fillId="6" borderId="2" xfId="1" applyFont="1" applyFill="1" applyBorder="1" applyAlignment="1">
      <alignment horizontal="left" vertical="center"/>
    </xf>
    <xf numFmtId="3" fontId="7" fillId="6" borderId="1" xfId="1" applyNumberFormat="1" applyFont="1" applyFill="1" applyBorder="1" applyAlignment="1">
      <alignment horizontal="right" vertical="center"/>
    </xf>
    <xf numFmtId="9" fontId="7" fillId="6" borderId="1" xfId="1" applyNumberFormat="1" applyFont="1" applyFill="1" applyBorder="1" applyAlignment="1">
      <alignment horizontal="right" vertical="center"/>
    </xf>
    <xf numFmtId="166" fontId="7" fillId="6" borderId="1" xfId="4" applyNumberFormat="1" applyFont="1" applyFill="1" applyBorder="1" applyAlignment="1">
      <alignment horizontal="right" vertical="center"/>
    </xf>
    <xf numFmtId="9" fontId="7" fillId="6" borderId="16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165" fontId="7" fillId="6" borderId="1" xfId="1" applyNumberFormat="1" applyFont="1" applyFill="1" applyBorder="1" applyAlignment="1">
      <alignment vertical="center"/>
    </xf>
    <xf numFmtId="3" fontId="13" fillId="6" borderId="1" xfId="1" applyNumberFormat="1" applyFont="1" applyFill="1" applyBorder="1" applyAlignment="1">
      <alignment horizontal="right" vertical="center"/>
    </xf>
    <xf numFmtId="3" fontId="7" fillId="6" borderId="5" xfId="1" applyNumberFormat="1" applyFont="1" applyFill="1" applyBorder="1" applyAlignment="1">
      <alignment horizontal="right" vertical="center"/>
    </xf>
    <xf numFmtId="0" fontId="7" fillId="6" borderId="2" xfId="1" applyFont="1" applyFill="1" applyBorder="1" applyAlignment="1">
      <alignment vertical="center"/>
    </xf>
    <xf numFmtId="0" fontId="2" fillId="0" borderId="0" xfId="1" applyAlignment="1">
      <alignment vertical="center"/>
    </xf>
    <xf numFmtId="0" fontId="6" fillId="0" borderId="16" xfId="1" applyFont="1" applyBorder="1" applyAlignment="1">
      <alignment vertical="center"/>
    </xf>
    <xf numFmtId="166" fontId="1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14" fillId="8" borderId="20" xfId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left" vertical="center" wrapText="1"/>
    </xf>
    <xf numFmtId="0" fontId="8" fillId="6" borderId="2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wrapText="1"/>
    </xf>
    <xf numFmtId="0" fontId="14" fillId="8" borderId="21" xfId="1" applyFont="1" applyFill="1" applyBorder="1" applyAlignment="1">
      <alignment horizontal="left" vertical="center"/>
    </xf>
    <xf numFmtId="3" fontId="14" fillId="8" borderId="19" xfId="1" applyNumberFormat="1" applyFont="1" applyFill="1" applyBorder="1" applyAlignment="1">
      <alignment horizontal="right" vertical="center"/>
    </xf>
    <xf numFmtId="9" fontId="14" fillId="8" borderId="19" xfId="1" applyNumberFormat="1" applyFont="1" applyFill="1" applyBorder="1" applyAlignment="1">
      <alignment horizontal="right" vertical="center"/>
    </xf>
    <xf numFmtId="9" fontId="14" fillId="8" borderId="20" xfId="1" applyNumberFormat="1" applyFont="1" applyFill="1" applyBorder="1" applyAlignment="1">
      <alignment horizontal="center" vertical="center"/>
    </xf>
    <xf numFmtId="166" fontId="14" fillId="8" borderId="19" xfId="1" applyNumberFormat="1" applyFont="1" applyFill="1" applyBorder="1" applyAlignment="1">
      <alignment horizontal="right" vertical="center"/>
    </xf>
    <xf numFmtId="0" fontId="2" fillId="0" borderId="21" xfId="1" applyFont="1" applyBorder="1" applyAlignment="1">
      <alignment horizontal="left"/>
    </xf>
    <xf numFmtId="3" fontId="2" fillId="0" borderId="25" xfId="1" applyNumberFormat="1" applyFont="1" applyBorder="1" applyAlignment="1">
      <alignment horizontal="right" vertical="center"/>
    </xf>
    <xf numFmtId="3" fontId="6" fillId="0" borderId="19" xfId="1" applyNumberFormat="1" applyFont="1" applyFill="1" applyBorder="1" applyAlignment="1">
      <alignment horizontal="right"/>
    </xf>
    <xf numFmtId="3" fontId="9" fillId="3" borderId="19" xfId="1" applyNumberFormat="1" applyFont="1" applyFill="1" applyBorder="1" applyAlignment="1">
      <alignment horizontal="right"/>
    </xf>
    <xf numFmtId="3" fontId="6" fillId="4" borderId="19" xfId="1" applyNumberFormat="1" applyFont="1" applyFill="1" applyBorder="1" applyAlignment="1">
      <alignment horizontal="right"/>
    </xf>
    <xf numFmtId="3" fontId="6" fillId="7" borderId="19" xfId="1" applyNumberFormat="1" applyFont="1" applyFill="1" applyBorder="1" applyAlignment="1">
      <alignment horizontal="right"/>
    </xf>
    <xf numFmtId="3" fontId="6" fillId="0" borderId="19" xfId="1" applyNumberFormat="1" applyFont="1" applyBorder="1" applyAlignment="1">
      <alignment horizontal="right"/>
    </xf>
    <xf numFmtId="0" fontId="7" fillId="6" borderId="14" xfId="1" applyFont="1" applyFill="1" applyBorder="1" applyAlignment="1">
      <alignment horizontal="left" vertical="center"/>
    </xf>
    <xf numFmtId="0" fontId="6" fillId="0" borderId="20" xfId="1" applyFont="1" applyBorder="1" applyAlignment="1">
      <alignment horizontal="left"/>
    </xf>
    <xf numFmtId="0" fontId="6" fillId="0" borderId="14" xfId="1" applyFont="1" applyBorder="1" applyAlignment="1">
      <alignment horizontal="left"/>
    </xf>
    <xf numFmtId="4" fontId="2" fillId="0" borderId="1" xfId="5" applyNumberFormat="1" applyFont="1" applyBorder="1" applyAlignment="1">
      <alignment horizontal="right"/>
    </xf>
    <xf numFmtId="3" fontId="20" fillId="11" borderId="2" xfId="5" applyNumberFormat="1" applyFont="1" applyFill="1" applyBorder="1" applyAlignment="1">
      <alignment horizontal="right" vertical="center"/>
    </xf>
    <xf numFmtId="3" fontId="2" fillId="12" borderId="1" xfId="5" applyNumberFormat="1" applyFont="1" applyFill="1" applyBorder="1" applyAlignment="1">
      <alignment horizontal="right" vertical="center"/>
    </xf>
    <xf numFmtId="3" fontId="2" fillId="7" borderId="1" xfId="5" applyNumberFormat="1" applyFont="1" applyFill="1" applyBorder="1" applyAlignment="1">
      <alignment horizontal="right" vertical="center"/>
    </xf>
    <xf numFmtId="3" fontId="2" fillId="12" borderId="1" xfId="1" applyNumberFormat="1" applyFont="1" applyFill="1" applyBorder="1" applyAlignment="1">
      <alignment horizontal="right"/>
    </xf>
    <xf numFmtId="0" fontId="2" fillId="0" borderId="0" xfId="5" applyFont="1" applyBorder="1"/>
    <xf numFmtId="0" fontId="2" fillId="0" borderId="0" xfId="5" applyFont="1"/>
    <xf numFmtId="0" fontId="4" fillId="0" borderId="26" xfId="5" applyFont="1" applyBorder="1" applyAlignment="1">
      <alignment horizontal="centerContinuous"/>
    </xf>
    <xf numFmtId="0" fontId="4" fillId="0" borderId="0" xfId="5" applyFont="1" applyBorder="1" applyAlignment="1">
      <alignment horizontal="centerContinuous"/>
    </xf>
    <xf numFmtId="0" fontId="2" fillId="0" borderId="26" xfId="5" applyFont="1" applyBorder="1"/>
    <xf numFmtId="3" fontId="2" fillId="0" borderId="0" xfId="5" applyNumberFormat="1" applyFont="1" applyBorder="1"/>
    <xf numFmtId="3" fontId="2" fillId="0" borderId="26" xfId="5" applyNumberFormat="1" applyFont="1" applyBorder="1"/>
    <xf numFmtId="3" fontId="2" fillId="0" borderId="27" xfId="5" applyNumberFormat="1" applyFont="1" applyBorder="1"/>
    <xf numFmtId="3" fontId="2" fillId="0" borderId="28" xfId="5" applyNumberFormat="1" applyFont="1" applyBorder="1"/>
    <xf numFmtId="3" fontId="2" fillId="0" borderId="1" xfId="5" applyNumberFormat="1" applyFont="1" applyBorder="1"/>
    <xf numFmtId="3" fontId="2" fillId="0" borderId="18" xfId="5" applyNumberFormat="1" applyFont="1" applyBorder="1"/>
    <xf numFmtId="4" fontId="4" fillId="0" borderId="5" xfId="5" applyNumberFormat="1" applyFont="1" applyBorder="1"/>
    <xf numFmtId="4" fontId="2" fillId="0" borderId="1" xfId="5" applyNumberFormat="1" applyFont="1" applyBorder="1"/>
    <xf numFmtId="4" fontId="2" fillId="0" borderId="18" xfId="5" applyNumberFormat="1" applyFont="1" applyBorder="1"/>
    <xf numFmtId="3" fontId="2" fillId="0" borderId="0" xfId="5" applyNumberFormat="1" applyFont="1"/>
    <xf numFmtId="3" fontId="4" fillId="0" borderId="5" xfId="5" applyNumberFormat="1" applyFont="1" applyBorder="1"/>
    <xf numFmtId="0" fontId="4" fillId="0" borderId="0" xfId="5" applyFont="1" applyBorder="1"/>
    <xf numFmtId="0" fontId="2" fillId="0" borderId="11" xfId="5" applyFont="1" applyBorder="1"/>
    <xf numFmtId="3" fontId="4" fillId="0" borderId="12" xfId="5" applyNumberFormat="1" applyFont="1" applyBorder="1"/>
    <xf numFmtId="3" fontId="2" fillId="0" borderId="11" xfId="5" applyNumberFormat="1" applyFont="1" applyBorder="1"/>
    <xf numFmtId="3" fontId="2" fillId="0" borderId="12" xfId="5" applyNumberFormat="1" applyFont="1" applyBorder="1"/>
    <xf numFmtId="3" fontId="2" fillId="0" borderId="13" xfId="5" applyNumberFormat="1" applyFont="1" applyBorder="1"/>
    <xf numFmtId="3" fontId="4" fillId="0" borderId="0" xfId="5" applyNumberFormat="1" applyFont="1" applyBorder="1" applyAlignment="1">
      <alignment horizontal="centerContinuous"/>
    </xf>
    <xf numFmtId="3" fontId="4" fillId="0" borderId="26" xfId="5" applyNumberFormat="1" applyFont="1" applyBorder="1" applyAlignment="1">
      <alignment horizontal="centerContinuous"/>
    </xf>
    <xf numFmtId="3" fontId="4" fillId="0" borderId="27" xfId="5" applyNumberFormat="1" applyFont="1" applyBorder="1" applyAlignment="1">
      <alignment horizontal="centerContinuous"/>
    </xf>
    <xf numFmtId="3" fontId="4" fillId="0" borderId="0" xfId="5" applyNumberFormat="1" applyFont="1" applyBorder="1" applyAlignment="1">
      <alignment horizontal="centerContinuous" wrapText="1"/>
    </xf>
    <xf numFmtId="166" fontId="2" fillId="7" borderId="1" xfId="2" applyNumberFormat="1" applyFont="1" applyFill="1" applyBorder="1"/>
    <xf numFmtId="3" fontId="2" fillId="0" borderId="1" xfId="5" applyNumberFormat="1" applyFont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/>
    </xf>
    <xf numFmtId="3" fontId="10" fillId="2" borderId="1" xfId="6" applyNumberFormat="1" applyFont="1" applyFill="1" applyBorder="1" applyAlignment="1">
      <alignment horizontal="right" vertical="center"/>
    </xf>
    <xf numFmtId="3" fontId="2" fillId="0" borderId="18" xfId="5" applyNumberFormat="1" applyFont="1" applyBorder="1" applyAlignment="1">
      <alignment horizontal="right" vertical="center"/>
    </xf>
    <xf numFmtId="3" fontId="2" fillId="7" borderId="1" xfId="1" applyNumberFormat="1" applyFont="1" applyFill="1" applyBorder="1" applyAlignment="1">
      <alignment horizontal="right"/>
    </xf>
    <xf numFmtId="3" fontId="10" fillId="0" borderId="1" xfId="6" applyNumberFormat="1" applyFont="1" applyFill="1" applyBorder="1" applyAlignment="1">
      <alignment horizontal="right" vertical="center"/>
    </xf>
    <xf numFmtId="3" fontId="20" fillId="11" borderId="1" xfId="1" applyNumberFormat="1" applyFont="1" applyFill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0" fontId="2" fillId="0" borderId="27" xfId="5" applyFont="1" applyBorder="1"/>
    <xf numFmtId="0" fontId="2" fillId="0" borderId="0" xfId="5" applyFont="1" applyBorder="1" applyAlignment="1"/>
    <xf numFmtId="0" fontId="2" fillId="0" borderId="12" xfId="5" applyFont="1" applyBorder="1"/>
    <xf numFmtId="0" fontId="2" fillId="0" borderId="12" xfId="5" applyFont="1" applyBorder="1" applyAlignment="1"/>
    <xf numFmtId="0" fontId="2" fillId="0" borderId="12" xfId="5" applyFont="1" applyBorder="1" applyAlignment="1">
      <alignment horizontal="center"/>
    </xf>
    <xf numFmtId="0" fontId="2" fillId="0" borderId="13" xfId="5" applyFont="1" applyBorder="1"/>
    <xf numFmtId="0" fontId="2" fillId="0" borderId="7" xfId="5" applyFont="1" applyBorder="1"/>
    <xf numFmtId="0" fontId="2" fillId="0" borderId="8" xfId="5" applyFont="1" applyBorder="1"/>
    <xf numFmtId="0" fontId="2" fillId="0" borderId="9" xfId="5" applyFont="1" applyBorder="1"/>
    <xf numFmtId="0" fontId="2" fillId="0" borderId="1" xfId="1" applyFont="1" applyBorder="1"/>
    <xf numFmtId="0" fontId="2" fillId="2" borderId="1" xfId="1" applyFont="1" applyFill="1" applyBorder="1"/>
    <xf numFmtId="0" fontId="2" fillId="0" borderId="1" xfId="1" applyFont="1" applyBorder="1" applyAlignment="1">
      <alignment horizontal="left"/>
    </xf>
    <xf numFmtId="0" fontId="2" fillId="2" borderId="1" xfId="1" applyFont="1" applyFill="1" applyBorder="1" applyAlignment="1">
      <alignment horizontal="left"/>
    </xf>
    <xf numFmtId="0" fontId="2" fillId="0" borderId="32" xfId="1" applyFont="1" applyBorder="1" applyAlignment="1">
      <alignment horizontal="left"/>
    </xf>
    <xf numFmtId="0" fontId="4" fillId="9" borderId="29" xfId="5" applyFont="1" applyFill="1" applyBorder="1"/>
    <xf numFmtId="3" fontId="4" fillId="9" borderId="30" xfId="5" applyNumberFormat="1" applyFont="1" applyFill="1" applyBorder="1" applyAlignment="1">
      <alignment horizontal="right" vertical="center"/>
    </xf>
    <xf numFmtId="3" fontId="21" fillId="9" borderId="2" xfId="5" applyNumberFormat="1" applyFont="1" applyFill="1" applyBorder="1" applyAlignment="1">
      <alignment horizontal="right" vertical="center"/>
    </xf>
    <xf numFmtId="3" fontId="4" fillId="9" borderId="1" xfId="5" applyNumberFormat="1" applyFont="1" applyFill="1" applyBorder="1" applyAlignment="1">
      <alignment horizontal="right" vertical="center"/>
    </xf>
    <xf numFmtId="3" fontId="22" fillId="9" borderId="1" xfId="5" applyNumberFormat="1" applyFont="1" applyFill="1" applyBorder="1" applyAlignment="1">
      <alignment horizontal="right" vertical="center"/>
    </xf>
    <xf numFmtId="0" fontId="4" fillId="9" borderId="28" xfId="5" applyFont="1" applyFill="1" applyBorder="1"/>
    <xf numFmtId="3" fontId="4" fillId="9" borderId="18" xfId="5" applyNumberFormat="1" applyFont="1" applyFill="1" applyBorder="1" applyAlignment="1">
      <alignment horizontal="right" vertical="center"/>
    </xf>
    <xf numFmtId="0" fontId="4" fillId="9" borderId="7" xfId="5" applyFont="1" applyFill="1" applyBorder="1" applyAlignment="1">
      <alignment horizontal="center"/>
    </xf>
    <xf numFmtId="3" fontId="4" fillId="9" borderId="7" xfId="5" applyNumberFormat="1" applyFont="1" applyFill="1" applyBorder="1" applyAlignment="1">
      <alignment horizontal="center"/>
    </xf>
    <xf numFmtId="3" fontId="4" fillId="9" borderId="10" xfId="5" applyNumberFormat="1" applyFont="1" applyFill="1" applyBorder="1" applyAlignment="1">
      <alignment horizontal="center"/>
    </xf>
    <xf numFmtId="3" fontId="4" fillId="9" borderId="8" xfId="5" applyNumberFormat="1" applyFont="1" applyFill="1" applyBorder="1" applyAlignment="1">
      <alignment horizontal="center"/>
    </xf>
    <xf numFmtId="3" fontId="4" fillId="9" borderId="9" xfId="5" applyNumberFormat="1" applyFont="1" applyFill="1" applyBorder="1" applyAlignment="1">
      <alignment horizontal="center"/>
    </xf>
    <xf numFmtId="0" fontId="2" fillId="9" borderId="11" xfId="5" applyFont="1" applyFill="1" applyBorder="1"/>
    <xf numFmtId="3" fontId="4" fillId="9" borderId="11" xfId="5" applyNumberFormat="1" applyFont="1" applyFill="1" applyBorder="1" applyAlignment="1">
      <alignment horizontal="center"/>
    </xf>
    <xf numFmtId="3" fontId="4" fillId="9" borderId="15" xfId="5" applyNumberFormat="1" applyFont="1" applyFill="1" applyBorder="1" applyAlignment="1">
      <alignment horizontal="center"/>
    </xf>
    <xf numFmtId="3" fontId="2" fillId="9" borderId="12" xfId="5" applyNumberFormat="1" applyFont="1" applyFill="1" applyBorder="1"/>
    <xf numFmtId="3" fontId="2" fillId="9" borderId="15" xfId="5" applyNumberFormat="1" applyFont="1" applyFill="1" applyBorder="1"/>
    <xf numFmtId="3" fontId="4" fillId="9" borderId="12" xfId="5" applyNumberFormat="1" applyFont="1" applyFill="1" applyBorder="1" applyAlignment="1">
      <alignment horizontal="center"/>
    </xf>
    <xf numFmtId="3" fontId="2" fillId="9" borderId="13" xfId="5" applyNumberFormat="1" applyFont="1" applyFill="1" applyBorder="1"/>
    <xf numFmtId="0" fontId="4" fillId="13" borderId="7" xfId="5" applyFont="1" applyFill="1" applyBorder="1" applyAlignment="1">
      <alignment horizontal="center"/>
    </xf>
    <xf numFmtId="0" fontId="4" fillId="13" borderId="10" xfId="5" applyFont="1" applyFill="1" applyBorder="1" applyAlignment="1">
      <alignment horizontal="center"/>
    </xf>
    <xf numFmtId="0" fontId="4" fillId="13" borderId="8" xfId="5" applyFont="1" applyFill="1" applyBorder="1" applyAlignment="1">
      <alignment horizontal="center"/>
    </xf>
    <xf numFmtId="0" fontId="2" fillId="13" borderId="11" xfId="5" applyFont="1" applyFill="1" applyBorder="1"/>
    <xf numFmtId="0" fontId="4" fillId="13" borderId="11" xfId="5" applyFont="1" applyFill="1" applyBorder="1" applyAlignment="1">
      <alignment horizontal="center"/>
    </xf>
    <xf numFmtId="0" fontId="4" fillId="13" borderId="15" xfId="5" applyFont="1" applyFill="1" applyBorder="1" applyAlignment="1">
      <alignment horizontal="center"/>
    </xf>
    <xf numFmtId="0" fontId="4" fillId="13" borderId="12" xfId="5" applyFont="1" applyFill="1" applyBorder="1"/>
    <xf numFmtId="0" fontId="4" fillId="13" borderId="12" xfId="5" applyFont="1" applyFill="1" applyBorder="1" applyAlignment="1">
      <alignment horizontal="center"/>
    </xf>
    <xf numFmtId="0" fontId="2" fillId="13" borderId="15" xfId="5" applyFont="1" applyFill="1" applyBorder="1"/>
    <xf numFmtId="0" fontId="2" fillId="13" borderId="12" xfId="5" applyFont="1" applyFill="1" applyBorder="1"/>
    <xf numFmtId="0" fontId="4" fillId="13" borderId="28" xfId="5" applyFont="1" applyFill="1" applyBorder="1"/>
    <xf numFmtId="4" fontId="4" fillId="13" borderId="5" xfId="5" applyNumberFormat="1" applyFont="1" applyFill="1" applyBorder="1"/>
    <xf numFmtId="3" fontId="2" fillId="13" borderId="28" xfId="5" applyNumberFormat="1" applyFont="1" applyFill="1" applyBorder="1"/>
    <xf numFmtId="3" fontId="2" fillId="13" borderId="1" xfId="5" applyNumberFormat="1" applyFont="1" applyFill="1" applyBorder="1"/>
    <xf numFmtId="4" fontId="2" fillId="13" borderId="1" xfId="5" applyNumberFormat="1" applyFont="1" applyFill="1" applyBorder="1"/>
    <xf numFmtId="4" fontId="2" fillId="13" borderId="18" xfId="5" applyNumberFormat="1" applyFont="1" applyFill="1" applyBorder="1"/>
    <xf numFmtId="3" fontId="4" fillId="13" borderId="1" xfId="5" applyNumberFormat="1" applyFont="1" applyFill="1" applyBorder="1"/>
    <xf numFmtId="4" fontId="4" fillId="13" borderId="1" xfId="5" applyNumberFormat="1" applyFont="1" applyFill="1" applyBorder="1"/>
    <xf numFmtId="4" fontId="4" fillId="13" borderId="18" xfId="5" applyNumberFormat="1" applyFont="1" applyFill="1" applyBorder="1"/>
    <xf numFmtId="0" fontId="2" fillId="5" borderId="28" xfId="5" applyFont="1" applyFill="1" applyBorder="1"/>
    <xf numFmtId="41" fontId="20" fillId="0" borderId="27" xfId="11" applyFont="1" applyBorder="1"/>
    <xf numFmtId="0" fontId="2" fillId="0" borderId="28" xfId="1" applyFont="1" applyBorder="1" applyAlignment="1">
      <alignment horizontal="left"/>
    </xf>
    <xf numFmtId="0" fontId="4" fillId="6" borderId="28" xfId="1" applyFont="1" applyFill="1" applyBorder="1" applyAlignment="1">
      <alignment vertical="center"/>
    </xf>
    <xf numFmtId="41" fontId="20" fillId="0" borderId="18" xfId="11" applyFont="1" applyBorder="1"/>
    <xf numFmtId="3" fontId="4" fillId="6" borderId="28" xfId="1" applyNumberFormat="1" applyFont="1" applyFill="1" applyBorder="1" applyAlignment="1">
      <alignment vertical="center"/>
    </xf>
    <xf numFmtId="41" fontId="4" fillId="6" borderId="28" xfId="11" applyFont="1" applyFill="1" applyBorder="1" applyAlignment="1">
      <alignment vertical="center"/>
    </xf>
    <xf numFmtId="0" fontId="2" fillId="0" borderId="31" xfId="1" applyFont="1" applyBorder="1" applyAlignment="1">
      <alignment horizontal="left"/>
    </xf>
    <xf numFmtId="41" fontId="2" fillId="0" borderId="0" xfId="5" applyNumberFormat="1" applyFont="1" applyBorder="1"/>
    <xf numFmtId="41" fontId="2" fillId="0" borderId="1" xfId="11" applyFont="1" applyBorder="1" applyAlignment="1">
      <alignment horizontal="right" vertical="center"/>
    </xf>
    <xf numFmtId="41" fontId="10" fillId="2" borderId="1" xfId="11" applyFont="1" applyFill="1" applyBorder="1" applyAlignment="1">
      <alignment horizontal="right" vertical="center"/>
    </xf>
    <xf numFmtId="41" fontId="4" fillId="9" borderId="29" xfId="11" applyFont="1" applyFill="1" applyBorder="1"/>
    <xf numFmtId="0" fontId="2" fillId="0" borderId="0" xfId="5" applyFont="1" applyAlignment="1">
      <alignment horizontal="left"/>
    </xf>
    <xf numFmtId="0" fontId="2" fillId="13" borderId="0" xfId="5" applyFont="1" applyFill="1" applyAlignment="1">
      <alignment horizontal="left"/>
    </xf>
    <xf numFmtId="0" fontId="2" fillId="9" borderId="0" xfId="5" applyFont="1" applyFill="1" applyAlignment="1">
      <alignment horizontal="left"/>
    </xf>
    <xf numFmtId="0" fontId="4" fillId="9" borderId="28" xfId="1" applyFont="1" applyFill="1" applyBorder="1" applyAlignment="1">
      <alignment horizontal="left" vertical="center"/>
    </xf>
    <xf numFmtId="0" fontId="4" fillId="6" borderId="28" xfId="1" applyFont="1" applyFill="1" applyBorder="1" applyAlignment="1">
      <alignment horizontal="left" vertical="center"/>
    </xf>
    <xf numFmtId="0" fontId="2" fillId="0" borderId="28" xfId="1" applyFont="1" applyBorder="1" applyAlignment="1">
      <alignment horizontal="left" vertical="center"/>
    </xf>
    <xf numFmtId="0" fontId="4" fillId="0" borderId="0" xfId="5" applyFont="1" applyAlignment="1">
      <alignment wrapText="1"/>
    </xf>
    <xf numFmtId="0" fontId="2" fillId="14" borderId="1" xfId="1" applyFont="1" applyFill="1" applyBorder="1"/>
    <xf numFmtId="3" fontId="2" fillId="14" borderId="1" xfId="5" applyNumberFormat="1" applyFont="1" applyFill="1" applyBorder="1" applyAlignment="1">
      <alignment horizontal="right" vertical="center"/>
    </xf>
    <xf numFmtId="0" fontId="2" fillId="0" borderId="1" xfId="1" applyFont="1" applyFill="1" applyBorder="1"/>
    <xf numFmtId="3" fontId="2" fillId="0" borderId="1" xfId="5" applyNumberFormat="1" applyFont="1" applyFill="1" applyBorder="1" applyAlignment="1">
      <alignment horizontal="right" vertical="center"/>
    </xf>
    <xf numFmtId="0" fontId="4" fillId="14" borderId="1" xfId="1" applyFont="1" applyFill="1" applyBorder="1"/>
    <xf numFmtId="3" fontId="4" fillId="14" borderId="1" xfId="5" applyNumberFormat="1" applyFont="1" applyFill="1" applyBorder="1" applyAlignment="1">
      <alignment horizontal="right" vertical="center"/>
    </xf>
    <xf numFmtId="0" fontId="2" fillId="0" borderId="1" xfId="5" applyFont="1" applyBorder="1"/>
    <xf numFmtId="41" fontId="20" fillId="0" borderId="1" xfId="11" applyFont="1" applyBorder="1"/>
    <xf numFmtId="3" fontId="20" fillId="11" borderId="1" xfId="5" applyNumberFormat="1" applyFont="1" applyFill="1" applyBorder="1" applyAlignment="1">
      <alignment horizontal="right" vertical="center"/>
    </xf>
    <xf numFmtId="0" fontId="4" fillId="14" borderId="1" xfId="1" applyFont="1" applyFill="1" applyBorder="1" applyAlignment="1">
      <alignment horizontal="left"/>
    </xf>
    <xf numFmtId="41" fontId="21" fillId="14" borderId="1" xfId="11" applyFont="1" applyFill="1" applyBorder="1"/>
    <xf numFmtId="3" fontId="21" fillId="14" borderId="1" xfId="5" applyNumberFormat="1" applyFont="1" applyFill="1" applyBorder="1" applyAlignment="1">
      <alignment horizontal="right" vertical="center"/>
    </xf>
    <xf numFmtId="3" fontId="4" fillId="14" borderId="1" xfId="5" applyNumberFormat="1" applyFont="1" applyFill="1" applyBorder="1"/>
    <xf numFmtId="0" fontId="2" fillId="0" borderId="1" xfId="1" applyFont="1" applyFill="1" applyBorder="1" applyAlignment="1">
      <alignment horizontal="left"/>
    </xf>
    <xf numFmtId="41" fontId="20" fillId="0" borderId="1" xfId="11" applyFont="1" applyFill="1" applyBorder="1"/>
    <xf numFmtId="3" fontId="20" fillId="0" borderId="1" xfId="5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/>
    <xf numFmtId="0" fontId="2" fillId="14" borderId="1" xfId="1" applyFont="1" applyFill="1" applyBorder="1" applyAlignment="1">
      <alignment horizontal="left"/>
    </xf>
    <xf numFmtId="41" fontId="20" fillId="14" borderId="1" xfId="11" applyFont="1" applyFill="1" applyBorder="1"/>
    <xf numFmtId="3" fontId="20" fillId="14" borderId="1" xfId="5" applyNumberFormat="1" applyFont="1" applyFill="1" applyBorder="1" applyAlignment="1">
      <alignment horizontal="right" vertical="center"/>
    </xf>
    <xf numFmtId="3" fontId="2" fillId="14" borderId="1" xfId="5" applyNumberFormat="1" applyFont="1" applyFill="1" applyBorder="1"/>
    <xf numFmtId="0" fontId="2" fillId="0" borderId="1" xfId="1" applyFont="1" applyBorder="1" applyAlignment="1">
      <alignment horizontal="left" vertical="center"/>
    </xf>
    <xf numFmtId="0" fontId="2" fillId="0" borderId="28" xfId="5" applyFont="1" applyBorder="1"/>
    <xf numFmtId="0" fontId="2" fillId="0" borderId="18" xfId="5" applyFont="1" applyBorder="1"/>
    <xf numFmtId="0" fontId="4" fillId="14" borderId="28" xfId="5" applyFont="1" applyFill="1" applyBorder="1"/>
    <xf numFmtId="0" fontId="4" fillId="14" borderId="18" xfId="5" applyFont="1" applyFill="1" applyBorder="1"/>
    <xf numFmtId="0" fontId="2" fillId="0" borderId="28" xfId="5" applyFont="1" applyFill="1" applyBorder="1"/>
    <xf numFmtId="0" fontId="2" fillId="0" borderId="18" xfId="5" applyFont="1" applyFill="1" applyBorder="1"/>
    <xf numFmtId="0" fontId="2" fillId="14" borderId="28" xfId="5" applyFont="1" applyFill="1" applyBorder="1"/>
    <xf numFmtId="0" fontId="2" fillId="14" borderId="18" xfId="5" applyFont="1" applyFill="1" applyBorder="1"/>
    <xf numFmtId="0" fontId="7" fillId="14" borderId="28" xfId="5" applyFont="1" applyFill="1" applyBorder="1"/>
    <xf numFmtId="0" fontId="7" fillId="14" borderId="1" xfId="1" applyFont="1" applyFill="1" applyBorder="1" applyAlignment="1">
      <alignment horizontal="left"/>
    </xf>
    <xf numFmtId="0" fontId="7" fillId="14" borderId="1" xfId="1" applyFont="1" applyFill="1" applyBorder="1"/>
    <xf numFmtId="41" fontId="25" fillId="14" borderId="1" xfId="11" applyFont="1" applyFill="1" applyBorder="1"/>
    <xf numFmtId="3" fontId="25" fillId="14" borderId="1" xfId="5" applyNumberFormat="1" applyFont="1" applyFill="1" applyBorder="1" applyAlignment="1">
      <alignment horizontal="right" vertical="center"/>
    </xf>
    <xf numFmtId="3" fontId="7" fillId="14" borderId="1" xfId="5" applyNumberFormat="1" applyFont="1" applyFill="1" applyBorder="1" applyAlignment="1">
      <alignment horizontal="right" vertical="center"/>
    </xf>
    <xf numFmtId="3" fontId="7" fillId="14" borderId="1" xfId="5" applyNumberFormat="1" applyFont="1" applyFill="1" applyBorder="1"/>
    <xf numFmtId="3" fontId="7" fillId="14" borderId="18" xfId="5" applyNumberFormat="1" applyFont="1" applyFill="1" applyBorder="1"/>
    <xf numFmtId="0" fontId="13" fillId="0" borderId="0" xfId="5" applyFont="1"/>
    <xf numFmtId="0" fontId="7" fillId="14" borderId="18" xfId="5" applyFont="1" applyFill="1" applyBorder="1"/>
    <xf numFmtId="0" fontId="18" fillId="13" borderId="1" xfId="5" applyFont="1" applyFill="1" applyBorder="1"/>
    <xf numFmtId="0" fontId="18" fillId="13" borderId="1" xfId="1" applyFont="1" applyFill="1" applyBorder="1" applyAlignment="1">
      <alignment horizontal="left" vertical="center"/>
    </xf>
    <xf numFmtId="41" fontId="18" fillId="13" borderId="1" xfId="11" applyFont="1" applyFill="1" applyBorder="1"/>
    <xf numFmtId="3" fontId="7" fillId="14" borderId="1" xfId="1" applyNumberFormat="1" applyFont="1" applyFill="1" applyBorder="1" applyAlignment="1">
      <alignment horizontal="right"/>
    </xf>
    <xf numFmtId="0" fontId="18" fillId="13" borderId="28" xfId="1" applyFont="1" applyFill="1" applyBorder="1" applyAlignment="1">
      <alignment horizontal="left" vertical="center"/>
    </xf>
    <xf numFmtId="3" fontId="18" fillId="13" borderId="1" xfId="5" applyNumberFormat="1" applyFont="1" applyFill="1" applyBorder="1" applyAlignment="1">
      <alignment horizontal="right" vertical="center"/>
    </xf>
    <xf numFmtId="3" fontId="26" fillId="13" borderId="1" xfId="5" applyNumberFormat="1" applyFont="1" applyFill="1" applyBorder="1" applyAlignment="1">
      <alignment horizontal="right" vertical="center"/>
    </xf>
    <xf numFmtId="3" fontId="18" fillId="13" borderId="18" xfId="5" applyNumberFormat="1" applyFont="1" applyFill="1" applyBorder="1" applyAlignment="1">
      <alignment horizontal="right" vertical="center"/>
    </xf>
    <xf numFmtId="0" fontId="18" fillId="13" borderId="1" xfId="5" applyFont="1" applyFill="1" applyBorder="1" applyAlignment="1">
      <alignment vertical="center"/>
    </xf>
    <xf numFmtId="0" fontId="4" fillId="15" borderId="35" xfId="5" applyFont="1" applyFill="1" applyBorder="1" applyAlignment="1">
      <alignment wrapText="1"/>
    </xf>
    <xf numFmtId="0" fontId="4" fillId="15" borderId="6" xfId="5" applyFont="1" applyFill="1" applyBorder="1" applyAlignment="1">
      <alignment horizontal="left" wrapText="1"/>
    </xf>
    <xf numFmtId="0" fontId="4" fillId="15" borderId="6" xfId="5" applyFont="1" applyFill="1" applyBorder="1" applyAlignment="1">
      <alignment horizontal="center" wrapText="1"/>
    </xf>
    <xf numFmtId="3" fontId="4" fillId="15" borderId="6" xfId="5" applyNumberFormat="1" applyFont="1" applyFill="1" applyBorder="1" applyAlignment="1">
      <alignment horizontal="center" wrapText="1"/>
    </xf>
    <xf numFmtId="0" fontId="17" fillId="10" borderId="29" xfId="5" applyFont="1" applyFill="1" applyBorder="1" applyAlignment="1">
      <alignment wrapText="1"/>
    </xf>
    <xf numFmtId="0" fontId="17" fillId="10" borderId="33" xfId="5" applyFont="1" applyFill="1" applyBorder="1" applyAlignment="1">
      <alignment horizontal="left" wrapText="1"/>
    </xf>
    <xf numFmtId="0" fontId="17" fillId="10" borderId="33" xfId="5" applyFont="1" applyFill="1" applyBorder="1" applyAlignment="1">
      <alignment horizontal="center" wrapText="1"/>
    </xf>
    <xf numFmtId="3" fontId="17" fillId="10" borderId="33" xfId="5" applyNumberFormat="1" applyFont="1" applyFill="1" applyBorder="1" applyAlignment="1">
      <alignment horizontal="center" wrapText="1"/>
    </xf>
    <xf numFmtId="3" fontId="17" fillId="10" borderId="33" xfId="5" applyNumberFormat="1" applyFont="1" applyFill="1" applyBorder="1" applyAlignment="1">
      <alignment wrapText="1"/>
    </xf>
    <xf numFmtId="3" fontId="17" fillId="10" borderId="30" xfId="5" applyNumberFormat="1" applyFont="1" applyFill="1" applyBorder="1" applyAlignment="1">
      <alignment wrapText="1"/>
    </xf>
    <xf numFmtId="0" fontId="18" fillId="15" borderId="28" xfId="5" applyFont="1" applyFill="1" applyBorder="1"/>
    <xf numFmtId="0" fontId="18" fillId="15" borderId="1" xfId="5" applyFont="1" applyFill="1" applyBorder="1" applyAlignment="1">
      <alignment horizontal="left"/>
    </xf>
    <xf numFmtId="0" fontId="18" fillId="15" borderId="1" xfId="5" applyFont="1" applyFill="1" applyBorder="1"/>
    <xf numFmtId="3" fontId="18" fillId="15" borderId="1" xfId="5" applyNumberFormat="1" applyFont="1" applyFill="1" applyBorder="1" applyAlignment="1">
      <alignment horizontal="right" vertical="center"/>
    </xf>
    <xf numFmtId="0" fontId="3" fillId="13" borderId="28" xfId="5" applyFont="1" applyFill="1" applyBorder="1"/>
    <xf numFmtId="0" fontId="18" fillId="13" borderId="1" xfId="1" applyFont="1" applyFill="1" applyBorder="1" applyAlignment="1">
      <alignment vertical="center"/>
    </xf>
    <xf numFmtId="3" fontId="18" fillId="13" borderId="1" xfId="1" applyNumberFormat="1" applyFont="1" applyFill="1" applyBorder="1" applyAlignment="1">
      <alignment vertical="center"/>
    </xf>
    <xf numFmtId="0" fontId="17" fillId="10" borderId="31" xfId="5" applyFont="1" applyFill="1" applyBorder="1"/>
    <xf numFmtId="0" fontId="17" fillId="10" borderId="32" xfId="1" applyFont="1" applyFill="1" applyBorder="1" applyAlignment="1">
      <alignment vertical="center"/>
    </xf>
    <xf numFmtId="0" fontId="7" fillId="13" borderId="28" xfId="5" applyFont="1" applyFill="1" applyBorder="1"/>
    <xf numFmtId="0" fontId="7" fillId="13" borderId="18" xfId="5" applyFont="1" applyFill="1" applyBorder="1"/>
    <xf numFmtId="3" fontId="25" fillId="14" borderId="1" xfId="1" applyNumberFormat="1" applyFont="1" applyFill="1" applyBorder="1" applyAlignment="1">
      <alignment horizontal="right"/>
    </xf>
    <xf numFmtId="0" fontId="8" fillId="14" borderId="28" xfId="5" applyFont="1" applyFill="1" applyBorder="1"/>
    <xf numFmtId="0" fontId="8" fillId="14" borderId="1" xfId="1" applyFont="1" applyFill="1" applyBorder="1" applyAlignment="1">
      <alignment horizontal="left"/>
    </xf>
    <xf numFmtId="41" fontId="27" fillId="14" borderId="1" xfId="11" applyFont="1" applyFill="1" applyBorder="1"/>
    <xf numFmtId="3" fontId="27" fillId="14" borderId="1" xfId="5" applyNumberFormat="1" applyFont="1" applyFill="1" applyBorder="1" applyAlignment="1">
      <alignment horizontal="right" vertical="center"/>
    </xf>
    <xf numFmtId="3" fontId="8" fillId="14" borderId="1" xfId="5" applyNumberFormat="1" applyFont="1" applyFill="1" applyBorder="1" applyAlignment="1">
      <alignment horizontal="right" vertical="center"/>
    </xf>
    <xf numFmtId="3" fontId="18" fillId="13" borderId="1" xfId="5" applyNumberFormat="1" applyFont="1" applyFill="1" applyBorder="1"/>
    <xf numFmtId="41" fontId="18" fillId="13" borderId="1" xfId="5" applyNumberFormat="1" applyFont="1" applyFill="1" applyBorder="1"/>
    <xf numFmtId="3" fontId="18" fillId="15" borderId="18" xfId="5" applyNumberFormat="1" applyFont="1" applyFill="1" applyBorder="1"/>
    <xf numFmtId="3" fontId="3" fillId="13" borderId="18" xfId="5" applyNumberFormat="1" applyFont="1" applyFill="1" applyBorder="1"/>
    <xf numFmtId="3" fontId="8" fillId="14" borderId="18" xfId="5" applyNumberFormat="1" applyFont="1" applyFill="1" applyBorder="1"/>
    <xf numFmtId="0" fontId="7" fillId="13" borderId="1" xfId="1" applyFont="1" applyFill="1" applyBorder="1" applyAlignment="1">
      <alignment horizontal="left" vertical="center"/>
    </xf>
    <xf numFmtId="0" fontId="7" fillId="13" borderId="1" xfId="1" applyFont="1" applyFill="1" applyBorder="1" applyAlignment="1">
      <alignment vertical="center"/>
    </xf>
    <xf numFmtId="3" fontId="7" fillId="13" borderId="1" xfId="1" applyNumberFormat="1" applyFont="1" applyFill="1" applyBorder="1" applyAlignment="1">
      <alignment vertical="center"/>
    </xf>
    <xf numFmtId="0" fontId="7" fillId="13" borderId="1" xfId="5" applyFont="1" applyFill="1" applyBorder="1"/>
    <xf numFmtId="14" fontId="2" fillId="0" borderId="1" xfId="5" applyNumberFormat="1" applyFont="1" applyBorder="1"/>
    <xf numFmtId="14" fontId="4" fillId="0" borderId="28" xfId="5" applyNumberFormat="1" applyFont="1" applyBorder="1"/>
    <xf numFmtId="0" fontId="4" fillId="0" borderId="1" xfId="1" applyFont="1" applyBorder="1" applyAlignment="1">
      <alignment horizontal="left"/>
    </xf>
    <xf numFmtId="0" fontId="4" fillId="2" borderId="1" xfId="1" applyFont="1" applyFill="1" applyBorder="1"/>
    <xf numFmtId="41" fontId="21" fillId="0" borderId="1" xfId="11" applyFont="1" applyBorder="1"/>
    <xf numFmtId="3" fontId="21" fillId="11" borderId="1" xfId="5" applyNumberFormat="1" applyFont="1" applyFill="1" applyBorder="1" applyAlignment="1">
      <alignment horizontal="right" vertical="center"/>
    </xf>
    <xf numFmtId="3" fontId="4" fillId="12" borderId="1" xfId="1" applyNumberFormat="1" applyFont="1" applyFill="1" applyBorder="1" applyAlignment="1">
      <alignment horizontal="right"/>
    </xf>
    <xf numFmtId="3" fontId="4" fillId="0" borderId="1" xfId="5" applyNumberFormat="1" applyFont="1" applyBorder="1"/>
    <xf numFmtId="14" fontId="2" fillId="0" borderId="28" xfId="5" applyNumberFormat="1" applyFont="1" applyBorder="1"/>
    <xf numFmtId="0" fontId="4" fillId="0" borderId="0" xfId="5" applyFont="1"/>
    <xf numFmtId="3" fontId="4" fillId="7" borderId="1" xfId="5" applyNumberFormat="1" applyFont="1" applyFill="1" applyBorder="1" applyAlignment="1">
      <alignment horizontal="right" vertical="center"/>
    </xf>
    <xf numFmtId="3" fontId="4" fillId="0" borderId="1" xfId="5" applyNumberFormat="1" applyFont="1" applyBorder="1" applyAlignment="1">
      <alignment horizontal="right" vertical="center"/>
    </xf>
    <xf numFmtId="0" fontId="2" fillId="0" borderId="1" xfId="5" applyFont="1" applyBorder="1" applyAlignment="1">
      <alignment horizontal="left"/>
    </xf>
    <xf numFmtId="0" fontId="2" fillId="0" borderId="28" xfId="5" applyFont="1" applyBorder="1" applyAlignment="1">
      <alignment horizontal="right"/>
    </xf>
    <xf numFmtId="3" fontId="8" fillId="14" borderId="1" xfId="5" applyNumberFormat="1" applyFont="1" applyFill="1" applyBorder="1"/>
    <xf numFmtId="0" fontId="18" fillId="13" borderId="28" xfId="5" applyFont="1" applyFill="1" applyBorder="1" applyAlignment="1">
      <alignment wrapText="1"/>
    </xf>
    <xf numFmtId="0" fontId="18" fillId="13" borderId="1" xfId="1" applyFont="1" applyFill="1" applyBorder="1" applyAlignment="1">
      <alignment horizontal="left" vertical="center" wrapText="1"/>
    </xf>
    <xf numFmtId="0" fontId="18" fillId="13" borderId="1" xfId="1" applyFont="1" applyFill="1" applyBorder="1" applyAlignment="1">
      <alignment vertical="center" wrapText="1"/>
    </xf>
    <xf numFmtId="41" fontId="18" fillId="13" borderId="1" xfId="1" applyNumberFormat="1" applyFont="1" applyFill="1" applyBorder="1" applyAlignment="1">
      <alignment vertical="center" wrapText="1"/>
    </xf>
    <xf numFmtId="41" fontId="18" fillId="13" borderId="18" xfId="5" applyNumberFormat="1" applyFont="1" applyFill="1" applyBorder="1" applyAlignment="1">
      <alignment wrapText="1"/>
    </xf>
    <xf numFmtId="0" fontId="2" fillId="0" borderId="0" xfId="5" applyFont="1" applyAlignment="1">
      <alignment wrapText="1"/>
    </xf>
    <xf numFmtId="0" fontId="8" fillId="14" borderId="1" xfId="1" applyFont="1" applyFill="1" applyBorder="1" applyAlignment="1">
      <alignment horizontal="left" vertical="center"/>
    </xf>
    <xf numFmtId="0" fontId="7" fillId="14" borderId="1" xfId="5" applyFont="1" applyFill="1" applyBorder="1"/>
    <xf numFmtId="41" fontId="7" fillId="14" borderId="1" xfId="5" applyNumberFormat="1" applyFont="1" applyFill="1" applyBorder="1"/>
    <xf numFmtId="41" fontId="7" fillId="14" borderId="18" xfId="5" applyNumberFormat="1" applyFont="1" applyFill="1" applyBorder="1"/>
    <xf numFmtId="0" fontId="2" fillId="0" borderId="36" xfId="5" applyFont="1" applyBorder="1"/>
    <xf numFmtId="0" fontId="2" fillId="0" borderId="19" xfId="1" applyFont="1" applyBorder="1" applyAlignment="1">
      <alignment horizontal="left"/>
    </xf>
    <xf numFmtId="3" fontId="2" fillId="0" borderId="19" xfId="5" applyNumberFormat="1" applyFont="1" applyBorder="1" applyAlignment="1">
      <alignment horizontal="right" vertical="center"/>
    </xf>
    <xf numFmtId="3" fontId="20" fillId="11" borderId="19" xfId="5" applyNumberFormat="1" applyFont="1" applyFill="1" applyBorder="1" applyAlignment="1">
      <alignment horizontal="right" vertical="center"/>
    </xf>
    <xf numFmtId="3" fontId="2" fillId="12" borderId="19" xfId="5" applyNumberFormat="1" applyFont="1" applyFill="1" applyBorder="1" applyAlignment="1">
      <alignment horizontal="right" vertical="center"/>
    </xf>
    <xf numFmtId="3" fontId="2" fillId="7" borderId="19" xfId="5" applyNumberFormat="1" applyFont="1" applyFill="1" applyBorder="1" applyAlignment="1">
      <alignment horizontal="right" vertical="center"/>
    </xf>
    <xf numFmtId="41" fontId="2" fillId="0" borderId="19" xfId="11" applyFont="1" applyBorder="1" applyAlignment="1">
      <alignment horizontal="right" vertical="center"/>
    </xf>
    <xf numFmtId="0" fontId="2" fillId="0" borderId="19" xfId="5" applyFont="1" applyBorder="1"/>
    <xf numFmtId="0" fontId="2" fillId="0" borderId="37" xfId="5" applyFont="1" applyBorder="1"/>
    <xf numFmtId="41" fontId="7" fillId="14" borderId="1" xfId="11" applyFont="1" applyFill="1" applyBorder="1" applyAlignment="1">
      <alignment horizontal="right" vertical="center"/>
    </xf>
    <xf numFmtId="41" fontId="20" fillId="0" borderId="5" xfId="11" applyFont="1" applyBorder="1"/>
    <xf numFmtId="41" fontId="7" fillId="6" borderId="14" xfId="1" applyNumberFormat="1" applyFont="1" applyFill="1" applyBorder="1" applyAlignment="1">
      <alignment vertical="center"/>
    </xf>
    <xf numFmtId="3" fontId="7" fillId="6" borderId="14" xfId="1" applyNumberFormat="1" applyFont="1" applyFill="1" applyBorder="1" applyAlignment="1">
      <alignment vertical="center"/>
    </xf>
    <xf numFmtId="3" fontId="8" fillId="6" borderId="2" xfId="1" applyNumberFormat="1" applyFont="1" applyFill="1" applyBorder="1" applyAlignment="1">
      <alignment horizontal="left" vertical="center" wrapText="1"/>
    </xf>
    <xf numFmtId="41" fontId="8" fillId="6" borderId="2" xfId="11" applyFont="1" applyFill="1" applyBorder="1" applyAlignment="1">
      <alignment horizontal="left" vertical="center" wrapText="1"/>
    </xf>
    <xf numFmtId="41" fontId="8" fillId="5" borderId="2" xfId="11" applyFont="1" applyFill="1" applyBorder="1" applyAlignment="1">
      <alignment horizontal="left" vertical="center" wrapText="1"/>
    </xf>
    <xf numFmtId="41" fontId="2" fillId="0" borderId="0" xfId="5" applyNumberFormat="1" applyFont="1"/>
    <xf numFmtId="3" fontId="3" fillId="0" borderId="19" xfId="5" applyNumberFormat="1" applyFont="1" applyBorder="1" applyAlignment="1">
      <alignment horizontal="right" vertical="center"/>
    </xf>
    <xf numFmtId="3" fontId="28" fillId="11" borderId="19" xfId="5" applyNumberFormat="1" applyFont="1" applyFill="1" applyBorder="1" applyAlignment="1">
      <alignment horizontal="right" vertical="center"/>
    </xf>
    <xf numFmtId="3" fontId="3" fillId="12" borderId="19" xfId="5" applyNumberFormat="1" applyFont="1" applyFill="1" applyBorder="1" applyAlignment="1">
      <alignment horizontal="right" vertical="center"/>
    </xf>
    <xf numFmtId="3" fontId="3" fillId="7" borderId="19" xfId="5" applyNumberFormat="1" applyFont="1" applyFill="1" applyBorder="1" applyAlignment="1">
      <alignment horizontal="right" vertical="center"/>
    </xf>
    <xf numFmtId="41" fontId="3" fillId="0" borderId="19" xfId="11" applyFont="1" applyBorder="1" applyAlignment="1">
      <alignment horizontal="right" vertical="center"/>
    </xf>
    <xf numFmtId="0" fontId="3" fillId="0" borderId="19" xfId="5" applyFont="1" applyBorder="1"/>
    <xf numFmtId="0" fontId="3" fillId="0" borderId="37" xfId="5" applyFont="1" applyBorder="1"/>
    <xf numFmtId="41" fontId="14" fillId="10" borderId="32" xfId="11" applyFont="1" applyFill="1" applyBorder="1" applyAlignment="1">
      <alignment vertical="center"/>
    </xf>
    <xf numFmtId="41" fontId="14" fillId="10" borderId="34" xfId="11" applyFont="1" applyFill="1" applyBorder="1"/>
    <xf numFmtId="3" fontId="8" fillId="6" borderId="2" xfId="1" applyNumberFormat="1" applyFont="1" applyFill="1" applyBorder="1" applyAlignment="1">
      <alignment horizontal="right" vertical="center" wrapText="1"/>
    </xf>
    <xf numFmtId="9" fontId="8" fillId="6" borderId="2" xfId="12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right"/>
    </xf>
    <xf numFmtId="3" fontId="8" fillId="0" borderId="2" xfId="1" applyNumberFormat="1" applyFont="1" applyBorder="1" applyAlignment="1">
      <alignment horizontal="right"/>
    </xf>
    <xf numFmtId="41" fontId="2" fillId="0" borderId="0" xfId="11" applyFont="1"/>
    <xf numFmtId="0" fontId="18" fillId="13" borderId="28" xfId="5" applyFont="1" applyFill="1" applyBorder="1"/>
    <xf numFmtId="0" fontId="18" fillId="13" borderId="1" xfId="1" applyFont="1" applyFill="1" applyBorder="1" applyAlignment="1">
      <alignment horizontal="left"/>
    </xf>
    <xf numFmtId="41" fontId="26" fillId="13" borderId="1" xfId="11" applyFont="1" applyFill="1" applyBorder="1"/>
    <xf numFmtId="3" fontId="18" fillId="13" borderId="18" xfId="5" applyNumberFormat="1" applyFont="1" applyFill="1" applyBorder="1"/>
    <xf numFmtId="3" fontId="7" fillId="14" borderId="28" xfId="5" applyNumberFormat="1" applyFont="1" applyFill="1" applyBorder="1"/>
    <xf numFmtId="14" fontId="2" fillId="0" borderId="2" xfId="5" applyNumberFormat="1" applyFont="1" applyBorder="1"/>
    <xf numFmtId="0" fontId="2" fillId="0" borderId="2" xfId="5" applyFont="1" applyBorder="1"/>
    <xf numFmtId="3" fontId="18" fillId="14" borderId="18" xfId="5" applyNumberFormat="1" applyFont="1" applyFill="1" applyBorder="1"/>
    <xf numFmtId="3" fontId="20" fillId="11" borderId="0" xfId="1" applyNumberFormat="1" applyFont="1" applyFill="1" applyBorder="1" applyAlignment="1">
      <alignment horizontal="right"/>
    </xf>
    <xf numFmtId="0" fontId="2" fillId="16" borderId="1" xfId="1" applyFont="1" applyFill="1" applyBorder="1" applyAlignment="1">
      <alignment horizontal="left"/>
    </xf>
    <xf numFmtId="0" fontId="4" fillId="0" borderId="26" xfId="5" applyFont="1" applyBorder="1" applyAlignment="1">
      <alignment horizontal="center"/>
    </xf>
    <xf numFmtId="0" fontId="4" fillId="0" borderId="0" xfId="5" applyFont="1" applyBorder="1" applyAlignment="1">
      <alignment horizontal="center"/>
    </xf>
    <xf numFmtId="0" fontId="4" fillId="0" borderId="27" xfId="5" applyFont="1" applyBorder="1" applyAlignment="1">
      <alignment horizontal="center"/>
    </xf>
    <xf numFmtId="0" fontId="4" fillId="0" borderId="11" xfId="5" applyFont="1" applyBorder="1" applyAlignment="1">
      <alignment horizontal="center"/>
    </xf>
    <xf numFmtId="0" fontId="4" fillId="0" borderId="12" xfId="5" applyFont="1" applyBorder="1" applyAlignment="1">
      <alignment horizontal="center"/>
    </xf>
    <xf numFmtId="0" fontId="4" fillId="0" borderId="13" xfId="5" applyFont="1" applyBorder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14" fillId="8" borderId="19" xfId="1" applyFont="1" applyFill="1" applyBorder="1" applyAlignment="1">
      <alignment horizontal="center"/>
    </xf>
    <xf numFmtId="0" fontId="14" fillId="8" borderId="6" xfId="1" applyFont="1" applyFill="1" applyBorder="1" applyAlignment="1">
      <alignment horizontal="center"/>
    </xf>
    <xf numFmtId="0" fontId="8" fillId="0" borderId="22" xfId="1" applyFont="1" applyFill="1" applyBorder="1" applyAlignment="1">
      <alignment horizontal="right"/>
    </xf>
    <xf numFmtId="0" fontId="8" fillId="0" borderId="23" xfId="1" applyFont="1" applyFill="1" applyBorder="1" applyAlignment="1">
      <alignment horizontal="right"/>
    </xf>
    <xf numFmtId="0" fontId="8" fillId="0" borderId="24" xfId="1" applyFont="1" applyFill="1" applyBorder="1" applyAlignment="1">
      <alignment horizontal="right"/>
    </xf>
  </cellXfs>
  <cellStyles count="13">
    <cellStyle name="Millares [0]" xfId="11" builtinId="6"/>
    <cellStyle name="Millares 2" xfId="2"/>
    <cellStyle name="Millares 2 2" xfId="10"/>
    <cellStyle name="Millares 3" xfId="4"/>
    <cellStyle name="Millares 4" xfId="6"/>
    <cellStyle name="Millares 4 2" xfId="8"/>
    <cellStyle name="Normal" xfId="0" builtinId="0"/>
    <cellStyle name="Normal 2" xfId="1"/>
    <cellStyle name="Normal 3" xfId="5"/>
    <cellStyle name="Normal 3 2" xfId="9"/>
    <cellStyle name="Normal 4" xfId="7"/>
    <cellStyle name="Porcentaje" xfId="12" builtin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0</xdr:rowOff>
    </xdr:from>
    <xdr:to>
      <xdr:col>1</xdr:col>
      <xdr:colOff>130969</xdr:colOff>
      <xdr:row>3</xdr:row>
      <xdr:rowOff>226219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5" y="0"/>
          <a:ext cx="1266824" cy="912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topLeftCell="A19" zoomScale="80" zoomScaleNormal="80" zoomScaleSheetLayoutView="30" workbookViewId="0">
      <selection activeCell="A33" sqref="A33"/>
    </sheetView>
  </sheetViews>
  <sheetFormatPr baseColWidth="10" defaultRowHeight="12.75" x14ac:dyDescent="0.2"/>
  <cols>
    <col min="1" max="1" width="12.625" style="201" customWidth="1"/>
    <col min="2" max="2" width="43.375" style="103" customWidth="1"/>
    <col min="3" max="3" width="19" style="103" customWidth="1"/>
    <col min="4" max="5" width="13.125" style="103" customWidth="1"/>
    <col min="6" max="6" width="10.875" style="103" customWidth="1"/>
    <col min="7" max="7" width="15" style="103" customWidth="1"/>
    <col min="8" max="8" width="15.25" style="103" customWidth="1"/>
    <col min="9" max="9" width="15.625" style="103" customWidth="1"/>
    <col min="10" max="10" width="15.625" style="103" bestFit="1" customWidth="1"/>
    <col min="11" max="20" width="14.625" style="103" customWidth="1"/>
    <col min="21" max="257" width="11" style="103"/>
    <col min="258" max="258" width="51" style="103" customWidth="1"/>
    <col min="259" max="259" width="19" style="103" customWidth="1"/>
    <col min="260" max="260" width="15.375" style="103" customWidth="1"/>
    <col min="261" max="261" width="14.5" style="103" customWidth="1"/>
    <col min="262" max="262" width="19.75" style="103" customWidth="1"/>
    <col min="263" max="263" width="20.5" style="103" customWidth="1"/>
    <col min="264" max="264" width="15.25" style="103" customWidth="1"/>
    <col min="265" max="265" width="15.625" style="103" customWidth="1"/>
    <col min="266" max="266" width="15.625" style="103" bestFit="1" customWidth="1"/>
    <col min="267" max="267" width="14.875" style="103" customWidth="1"/>
    <col min="268" max="268" width="15.625" style="103" bestFit="1" customWidth="1"/>
    <col min="269" max="269" width="15" style="103" customWidth="1"/>
    <col min="270" max="270" width="15.625" style="103" bestFit="1" customWidth="1"/>
    <col min="271" max="271" width="15.875" style="103" customWidth="1"/>
    <col min="272" max="272" width="16.25" style="103" customWidth="1"/>
    <col min="273" max="273" width="16.75" style="103" customWidth="1"/>
    <col min="274" max="274" width="14.875" style="103" customWidth="1"/>
    <col min="275" max="275" width="19.625" style="103" bestFit="1" customWidth="1"/>
    <col min="276" max="276" width="21.875" style="103" customWidth="1"/>
    <col min="277" max="513" width="11" style="103"/>
    <col min="514" max="514" width="51" style="103" customWidth="1"/>
    <col min="515" max="515" width="19" style="103" customWidth="1"/>
    <col min="516" max="516" width="15.375" style="103" customWidth="1"/>
    <col min="517" max="517" width="14.5" style="103" customWidth="1"/>
    <col min="518" max="518" width="19.75" style="103" customWidth="1"/>
    <col min="519" max="519" width="20.5" style="103" customWidth="1"/>
    <col min="520" max="520" width="15.25" style="103" customWidth="1"/>
    <col min="521" max="521" width="15.625" style="103" customWidth="1"/>
    <col min="522" max="522" width="15.625" style="103" bestFit="1" customWidth="1"/>
    <col min="523" max="523" width="14.875" style="103" customWidth="1"/>
    <col min="524" max="524" width="15.625" style="103" bestFit="1" customWidth="1"/>
    <col min="525" max="525" width="15" style="103" customWidth="1"/>
    <col min="526" max="526" width="15.625" style="103" bestFit="1" customWidth="1"/>
    <col min="527" max="527" width="15.875" style="103" customWidth="1"/>
    <col min="528" max="528" width="16.25" style="103" customWidth="1"/>
    <col min="529" max="529" width="16.75" style="103" customWidth="1"/>
    <col min="530" max="530" width="14.875" style="103" customWidth="1"/>
    <col min="531" max="531" width="19.625" style="103" bestFit="1" customWidth="1"/>
    <col min="532" max="532" width="21.875" style="103" customWidth="1"/>
    <col min="533" max="769" width="11" style="103"/>
    <col min="770" max="770" width="51" style="103" customWidth="1"/>
    <col min="771" max="771" width="19" style="103" customWidth="1"/>
    <col min="772" max="772" width="15.375" style="103" customWidth="1"/>
    <col min="773" max="773" width="14.5" style="103" customWidth="1"/>
    <col min="774" max="774" width="19.75" style="103" customWidth="1"/>
    <col min="775" max="775" width="20.5" style="103" customWidth="1"/>
    <col min="776" max="776" width="15.25" style="103" customWidth="1"/>
    <col min="777" max="777" width="15.625" style="103" customWidth="1"/>
    <col min="778" max="778" width="15.625" style="103" bestFit="1" customWidth="1"/>
    <col min="779" max="779" width="14.875" style="103" customWidth="1"/>
    <col min="780" max="780" width="15.625" style="103" bestFit="1" customWidth="1"/>
    <col min="781" max="781" width="15" style="103" customWidth="1"/>
    <col min="782" max="782" width="15.625" style="103" bestFit="1" customWidth="1"/>
    <col min="783" max="783" width="15.875" style="103" customWidth="1"/>
    <col min="784" max="784" width="16.25" style="103" customWidth="1"/>
    <col min="785" max="785" width="16.75" style="103" customWidth="1"/>
    <col min="786" max="786" width="14.875" style="103" customWidth="1"/>
    <col min="787" max="787" width="19.625" style="103" bestFit="1" customWidth="1"/>
    <col min="788" max="788" width="21.875" style="103" customWidth="1"/>
    <col min="789" max="1025" width="11" style="103"/>
    <col min="1026" max="1026" width="51" style="103" customWidth="1"/>
    <col min="1027" max="1027" width="19" style="103" customWidth="1"/>
    <col min="1028" max="1028" width="15.375" style="103" customWidth="1"/>
    <col min="1029" max="1029" width="14.5" style="103" customWidth="1"/>
    <col min="1030" max="1030" width="19.75" style="103" customWidth="1"/>
    <col min="1031" max="1031" width="20.5" style="103" customWidth="1"/>
    <col min="1032" max="1032" width="15.25" style="103" customWidth="1"/>
    <col min="1033" max="1033" width="15.625" style="103" customWidth="1"/>
    <col min="1034" max="1034" width="15.625" style="103" bestFit="1" customWidth="1"/>
    <col min="1035" max="1035" width="14.875" style="103" customWidth="1"/>
    <col min="1036" max="1036" width="15.625" style="103" bestFit="1" customWidth="1"/>
    <col min="1037" max="1037" width="15" style="103" customWidth="1"/>
    <col min="1038" max="1038" width="15.625" style="103" bestFit="1" customWidth="1"/>
    <col min="1039" max="1039" width="15.875" style="103" customWidth="1"/>
    <col min="1040" max="1040" width="16.25" style="103" customWidth="1"/>
    <col min="1041" max="1041" width="16.75" style="103" customWidth="1"/>
    <col min="1042" max="1042" width="14.875" style="103" customWidth="1"/>
    <col min="1043" max="1043" width="19.625" style="103" bestFit="1" customWidth="1"/>
    <col min="1044" max="1044" width="21.875" style="103" customWidth="1"/>
    <col min="1045" max="1281" width="11" style="103"/>
    <col min="1282" max="1282" width="51" style="103" customWidth="1"/>
    <col min="1283" max="1283" width="19" style="103" customWidth="1"/>
    <col min="1284" max="1284" width="15.375" style="103" customWidth="1"/>
    <col min="1285" max="1285" width="14.5" style="103" customWidth="1"/>
    <col min="1286" max="1286" width="19.75" style="103" customWidth="1"/>
    <col min="1287" max="1287" width="20.5" style="103" customWidth="1"/>
    <col min="1288" max="1288" width="15.25" style="103" customWidth="1"/>
    <col min="1289" max="1289" width="15.625" style="103" customWidth="1"/>
    <col min="1290" max="1290" width="15.625" style="103" bestFit="1" customWidth="1"/>
    <col min="1291" max="1291" width="14.875" style="103" customWidth="1"/>
    <col min="1292" max="1292" width="15.625" style="103" bestFit="1" customWidth="1"/>
    <col min="1293" max="1293" width="15" style="103" customWidth="1"/>
    <col min="1294" max="1294" width="15.625" style="103" bestFit="1" customWidth="1"/>
    <col min="1295" max="1295" width="15.875" style="103" customWidth="1"/>
    <col min="1296" max="1296" width="16.25" style="103" customWidth="1"/>
    <col min="1297" max="1297" width="16.75" style="103" customWidth="1"/>
    <col min="1298" max="1298" width="14.875" style="103" customWidth="1"/>
    <col min="1299" max="1299" width="19.625" style="103" bestFit="1" customWidth="1"/>
    <col min="1300" max="1300" width="21.875" style="103" customWidth="1"/>
    <col min="1301" max="1537" width="11" style="103"/>
    <col min="1538" max="1538" width="51" style="103" customWidth="1"/>
    <col min="1539" max="1539" width="19" style="103" customWidth="1"/>
    <col min="1540" max="1540" width="15.375" style="103" customWidth="1"/>
    <col min="1541" max="1541" width="14.5" style="103" customWidth="1"/>
    <col min="1542" max="1542" width="19.75" style="103" customWidth="1"/>
    <col min="1543" max="1543" width="20.5" style="103" customWidth="1"/>
    <col min="1544" max="1544" width="15.25" style="103" customWidth="1"/>
    <col min="1545" max="1545" width="15.625" style="103" customWidth="1"/>
    <col min="1546" max="1546" width="15.625" style="103" bestFit="1" customWidth="1"/>
    <col min="1547" max="1547" width="14.875" style="103" customWidth="1"/>
    <col min="1548" max="1548" width="15.625" style="103" bestFit="1" customWidth="1"/>
    <col min="1549" max="1549" width="15" style="103" customWidth="1"/>
    <col min="1550" max="1550" width="15.625" style="103" bestFit="1" customWidth="1"/>
    <col min="1551" max="1551" width="15.875" style="103" customWidth="1"/>
    <col min="1552" max="1552" width="16.25" style="103" customWidth="1"/>
    <col min="1553" max="1553" width="16.75" style="103" customWidth="1"/>
    <col min="1554" max="1554" width="14.875" style="103" customWidth="1"/>
    <col min="1555" max="1555" width="19.625" style="103" bestFit="1" customWidth="1"/>
    <col min="1556" max="1556" width="21.875" style="103" customWidth="1"/>
    <col min="1557" max="1793" width="11" style="103"/>
    <col min="1794" max="1794" width="51" style="103" customWidth="1"/>
    <col min="1795" max="1795" width="19" style="103" customWidth="1"/>
    <col min="1796" max="1796" width="15.375" style="103" customWidth="1"/>
    <col min="1797" max="1797" width="14.5" style="103" customWidth="1"/>
    <col min="1798" max="1798" width="19.75" style="103" customWidth="1"/>
    <col min="1799" max="1799" width="20.5" style="103" customWidth="1"/>
    <col min="1800" max="1800" width="15.25" style="103" customWidth="1"/>
    <col min="1801" max="1801" width="15.625" style="103" customWidth="1"/>
    <col min="1802" max="1802" width="15.625" style="103" bestFit="1" customWidth="1"/>
    <col min="1803" max="1803" width="14.875" style="103" customWidth="1"/>
    <col min="1804" max="1804" width="15.625" style="103" bestFit="1" customWidth="1"/>
    <col min="1805" max="1805" width="15" style="103" customWidth="1"/>
    <col min="1806" max="1806" width="15.625" style="103" bestFit="1" customWidth="1"/>
    <col min="1807" max="1807" width="15.875" style="103" customWidth="1"/>
    <col min="1808" max="1808" width="16.25" style="103" customWidth="1"/>
    <col min="1809" max="1809" width="16.75" style="103" customWidth="1"/>
    <col min="1810" max="1810" width="14.875" style="103" customWidth="1"/>
    <col min="1811" max="1811" width="19.625" style="103" bestFit="1" customWidth="1"/>
    <col min="1812" max="1812" width="21.875" style="103" customWidth="1"/>
    <col min="1813" max="2049" width="11" style="103"/>
    <col min="2050" max="2050" width="51" style="103" customWidth="1"/>
    <col min="2051" max="2051" width="19" style="103" customWidth="1"/>
    <col min="2052" max="2052" width="15.375" style="103" customWidth="1"/>
    <col min="2053" max="2053" width="14.5" style="103" customWidth="1"/>
    <col min="2054" max="2054" width="19.75" style="103" customWidth="1"/>
    <col min="2055" max="2055" width="20.5" style="103" customWidth="1"/>
    <col min="2056" max="2056" width="15.25" style="103" customWidth="1"/>
    <col min="2057" max="2057" width="15.625" style="103" customWidth="1"/>
    <col min="2058" max="2058" width="15.625" style="103" bestFit="1" customWidth="1"/>
    <col min="2059" max="2059" width="14.875" style="103" customWidth="1"/>
    <col min="2060" max="2060" width="15.625" style="103" bestFit="1" customWidth="1"/>
    <col min="2061" max="2061" width="15" style="103" customWidth="1"/>
    <col min="2062" max="2062" width="15.625" style="103" bestFit="1" customWidth="1"/>
    <col min="2063" max="2063" width="15.875" style="103" customWidth="1"/>
    <col min="2064" max="2064" width="16.25" style="103" customWidth="1"/>
    <col min="2065" max="2065" width="16.75" style="103" customWidth="1"/>
    <col min="2066" max="2066" width="14.875" style="103" customWidth="1"/>
    <col min="2067" max="2067" width="19.625" style="103" bestFit="1" customWidth="1"/>
    <col min="2068" max="2068" width="21.875" style="103" customWidth="1"/>
    <col min="2069" max="2305" width="11" style="103"/>
    <col min="2306" max="2306" width="51" style="103" customWidth="1"/>
    <col min="2307" max="2307" width="19" style="103" customWidth="1"/>
    <col min="2308" max="2308" width="15.375" style="103" customWidth="1"/>
    <col min="2309" max="2309" width="14.5" style="103" customWidth="1"/>
    <col min="2310" max="2310" width="19.75" style="103" customWidth="1"/>
    <col min="2311" max="2311" width="20.5" style="103" customWidth="1"/>
    <col min="2312" max="2312" width="15.25" style="103" customWidth="1"/>
    <col min="2313" max="2313" width="15.625" style="103" customWidth="1"/>
    <col min="2314" max="2314" width="15.625" style="103" bestFit="1" customWidth="1"/>
    <col min="2315" max="2315" width="14.875" style="103" customWidth="1"/>
    <col min="2316" max="2316" width="15.625" style="103" bestFit="1" customWidth="1"/>
    <col min="2317" max="2317" width="15" style="103" customWidth="1"/>
    <col min="2318" max="2318" width="15.625" style="103" bestFit="1" customWidth="1"/>
    <col min="2319" max="2319" width="15.875" style="103" customWidth="1"/>
    <col min="2320" max="2320" width="16.25" style="103" customWidth="1"/>
    <col min="2321" max="2321" width="16.75" style="103" customWidth="1"/>
    <col min="2322" max="2322" width="14.875" style="103" customWidth="1"/>
    <col min="2323" max="2323" width="19.625" style="103" bestFit="1" customWidth="1"/>
    <col min="2324" max="2324" width="21.875" style="103" customWidth="1"/>
    <col min="2325" max="2561" width="11" style="103"/>
    <col min="2562" max="2562" width="51" style="103" customWidth="1"/>
    <col min="2563" max="2563" width="19" style="103" customWidth="1"/>
    <col min="2564" max="2564" width="15.375" style="103" customWidth="1"/>
    <col min="2565" max="2565" width="14.5" style="103" customWidth="1"/>
    <col min="2566" max="2566" width="19.75" style="103" customWidth="1"/>
    <col min="2567" max="2567" width="20.5" style="103" customWidth="1"/>
    <col min="2568" max="2568" width="15.25" style="103" customWidth="1"/>
    <col min="2569" max="2569" width="15.625" style="103" customWidth="1"/>
    <col min="2570" max="2570" width="15.625" style="103" bestFit="1" customWidth="1"/>
    <col min="2571" max="2571" width="14.875" style="103" customWidth="1"/>
    <col min="2572" max="2572" width="15.625" style="103" bestFit="1" customWidth="1"/>
    <col min="2573" max="2573" width="15" style="103" customWidth="1"/>
    <col min="2574" max="2574" width="15.625" style="103" bestFit="1" customWidth="1"/>
    <col min="2575" max="2575" width="15.875" style="103" customWidth="1"/>
    <col min="2576" max="2576" width="16.25" style="103" customWidth="1"/>
    <col min="2577" max="2577" width="16.75" style="103" customWidth="1"/>
    <col min="2578" max="2578" width="14.875" style="103" customWidth="1"/>
    <col min="2579" max="2579" width="19.625" style="103" bestFit="1" customWidth="1"/>
    <col min="2580" max="2580" width="21.875" style="103" customWidth="1"/>
    <col min="2581" max="2817" width="11" style="103"/>
    <col min="2818" max="2818" width="51" style="103" customWidth="1"/>
    <col min="2819" max="2819" width="19" style="103" customWidth="1"/>
    <col min="2820" max="2820" width="15.375" style="103" customWidth="1"/>
    <col min="2821" max="2821" width="14.5" style="103" customWidth="1"/>
    <col min="2822" max="2822" width="19.75" style="103" customWidth="1"/>
    <col min="2823" max="2823" width="20.5" style="103" customWidth="1"/>
    <col min="2824" max="2824" width="15.25" style="103" customWidth="1"/>
    <col min="2825" max="2825" width="15.625" style="103" customWidth="1"/>
    <col min="2826" max="2826" width="15.625" style="103" bestFit="1" customWidth="1"/>
    <col min="2827" max="2827" width="14.875" style="103" customWidth="1"/>
    <col min="2828" max="2828" width="15.625" style="103" bestFit="1" customWidth="1"/>
    <col min="2829" max="2829" width="15" style="103" customWidth="1"/>
    <col min="2830" max="2830" width="15.625" style="103" bestFit="1" customWidth="1"/>
    <col min="2831" max="2831" width="15.875" style="103" customWidth="1"/>
    <col min="2832" max="2832" width="16.25" style="103" customWidth="1"/>
    <col min="2833" max="2833" width="16.75" style="103" customWidth="1"/>
    <col min="2834" max="2834" width="14.875" style="103" customWidth="1"/>
    <col min="2835" max="2835" width="19.625" style="103" bestFit="1" customWidth="1"/>
    <col min="2836" max="2836" width="21.875" style="103" customWidth="1"/>
    <col min="2837" max="3073" width="11" style="103"/>
    <col min="3074" max="3074" width="51" style="103" customWidth="1"/>
    <col min="3075" max="3075" width="19" style="103" customWidth="1"/>
    <col min="3076" max="3076" width="15.375" style="103" customWidth="1"/>
    <col min="3077" max="3077" width="14.5" style="103" customWidth="1"/>
    <col min="3078" max="3078" width="19.75" style="103" customWidth="1"/>
    <col min="3079" max="3079" width="20.5" style="103" customWidth="1"/>
    <col min="3080" max="3080" width="15.25" style="103" customWidth="1"/>
    <col min="3081" max="3081" width="15.625" style="103" customWidth="1"/>
    <col min="3082" max="3082" width="15.625" style="103" bestFit="1" customWidth="1"/>
    <col min="3083" max="3083" width="14.875" style="103" customWidth="1"/>
    <col min="3084" max="3084" width="15.625" style="103" bestFit="1" customWidth="1"/>
    <col min="3085" max="3085" width="15" style="103" customWidth="1"/>
    <col min="3086" max="3086" width="15.625" style="103" bestFit="1" customWidth="1"/>
    <col min="3087" max="3087" width="15.875" style="103" customWidth="1"/>
    <col min="3088" max="3088" width="16.25" style="103" customWidth="1"/>
    <col min="3089" max="3089" width="16.75" style="103" customWidth="1"/>
    <col min="3090" max="3090" width="14.875" style="103" customWidth="1"/>
    <col min="3091" max="3091" width="19.625" style="103" bestFit="1" customWidth="1"/>
    <col min="3092" max="3092" width="21.875" style="103" customWidth="1"/>
    <col min="3093" max="3329" width="11" style="103"/>
    <col min="3330" max="3330" width="51" style="103" customWidth="1"/>
    <col min="3331" max="3331" width="19" style="103" customWidth="1"/>
    <col min="3332" max="3332" width="15.375" style="103" customWidth="1"/>
    <col min="3333" max="3333" width="14.5" style="103" customWidth="1"/>
    <col min="3334" max="3334" width="19.75" style="103" customWidth="1"/>
    <col min="3335" max="3335" width="20.5" style="103" customWidth="1"/>
    <col min="3336" max="3336" width="15.25" style="103" customWidth="1"/>
    <col min="3337" max="3337" width="15.625" style="103" customWidth="1"/>
    <col min="3338" max="3338" width="15.625" style="103" bestFit="1" customWidth="1"/>
    <col min="3339" max="3339" width="14.875" style="103" customWidth="1"/>
    <col min="3340" max="3340" width="15.625" style="103" bestFit="1" customWidth="1"/>
    <col min="3341" max="3341" width="15" style="103" customWidth="1"/>
    <col min="3342" max="3342" width="15.625" style="103" bestFit="1" customWidth="1"/>
    <col min="3343" max="3343" width="15.875" style="103" customWidth="1"/>
    <col min="3344" max="3344" width="16.25" style="103" customWidth="1"/>
    <col min="3345" max="3345" width="16.75" style="103" customWidth="1"/>
    <col min="3346" max="3346" width="14.875" style="103" customWidth="1"/>
    <col min="3347" max="3347" width="19.625" style="103" bestFit="1" customWidth="1"/>
    <col min="3348" max="3348" width="21.875" style="103" customWidth="1"/>
    <col min="3349" max="3585" width="11" style="103"/>
    <col min="3586" max="3586" width="51" style="103" customWidth="1"/>
    <col min="3587" max="3587" width="19" style="103" customWidth="1"/>
    <col min="3588" max="3588" width="15.375" style="103" customWidth="1"/>
    <col min="3589" max="3589" width="14.5" style="103" customWidth="1"/>
    <col min="3590" max="3590" width="19.75" style="103" customWidth="1"/>
    <col min="3591" max="3591" width="20.5" style="103" customWidth="1"/>
    <col min="3592" max="3592" width="15.25" style="103" customWidth="1"/>
    <col min="3593" max="3593" width="15.625" style="103" customWidth="1"/>
    <col min="3594" max="3594" width="15.625" style="103" bestFit="1" customWidth="1"/>
    <col min="3595" max="3595" width="14.875" style="103" customWidth="1"/>
    <col min="3596" max="3596" width="15.625" style="103" bestFit="1" customWidth="1"/>
    <col min="3597" max="3597" width="15" style="103" customWidth="1"/>
    <col min="3598" max="3598" width="15.625" style="103" bestFit="1" customWidth="1"/>
    <col min="3599" max="3599" width="15.875" style="103" customWidth="1"/>
    <col min="3600" max="3600" width="16.25" style="103" customWidth="1"/>
    <col min="3601" max="3601" width="16.75" style="103" customWidth="1"/>
    <col min="3602" max="3602" width="14.875" style="103" customWidth="1"/>
    <col min="3603" max="3603" width="19.625" style="103" bestFit="1" customWidth="1"/>
    <col min="3604" max="3604" width="21.875" style="103" customWidth="1"/>
    <col min="3605" max="3841" width="11" style="103"/>
    <col min="3842" max="3842" width="51" style="103" customWidth="1"/>
    <col min="3843" max="3843" width="19" style="103" customWidth="1"/>
    <col min="3844" max="3844" width="15.375" style="103" customWidth="1"/>
    <col min="3845" max="3845" width="14.5" style="103" customWidth="1"/>
    <col min="3846" max="3846" width="19.75" style="103" customWidth="1"/>
    <col min="3847" max="3847" width="20.5" style="103" customWidth="1"/>
    <col min="3848" max="3848" width="15.25" style="103" customWidth="1"/>
    <col min="3849" max="3849" width="15.625" style="103" customWidth="1"/>
    <col min="3850" max="3850" width="15.625" style="103" bestFit="1" customWidth="1"/>
    <col min="3851" max="3851" width="14.875" style="103" customWidth="1"/>
    <col min="3852" max="3852" width="15.625" style="103" bestFit="1" customWidth="1"/>
    <col min="3853" max="3853" width="15" style="103" customWidth="1"/>
    <col min="3854" max="3854" width="15.625" style="103" bestFit="1" customWidth="1"/>
    <col min="3855" max="3855" width="15.875" style="103" customWidth="1"/>
    <col min="3856" max="3856" width="16.25" style="103" customWidth="1"/>
    <col min="3857" max="3857" width="16.75" style="103" customWidth="1"/>
    <col min="3858" max="3858" width="14.875" style="103" customWidth="1"/>
    <col min="3859" max="3859" width="19.625" style="103" bestFit="1" customWidth="1"/>
    <col min="3860" max="3860" width="21.875" style="103" customWidth="1"/>
    <col min="3861" max="4097" width="11" style="103"/>
    <col min="4098" max="4098" width="51" style="103" customWidth="1"/>
    <col min="4099" max="4099" width="19" style="103" customWidth="1"/>
    <col min="4100" max="4100" width="15.375" style="103" customWidth="1"/>
    <col min="4101" max="4101" width="14.5" style="103" customWidth="1"/>
    <col min="4102" max="4102" width="19.75" style="103" customWidth="1"/>
    <col min="4103" max="4103" width="20.5" style="103" customWidth="1"/>
    <col min="4104" max="4104" width="15.25" style="103" customWidth="1"/>
    <col min="4105" max="4105" width="15.625" style="103" customWidth="1"/>
    <col min="4106" max="4106" width="15.625" style="103" bestFit="1" customWidth="1"/>
    <col min="4107" max="4107" width="14.875" style="103" customWidth="1"/>
    <col min="4108" max="4108" width="15.625" style="103" bestFit="1" customWidth="1"/>
    <col min="4109" max="4109" width="15" style="103" customWidth="1"/>
    <col min="4110" max="4110" width="15.625" style="103" bestFit="1" customWidth="1"/>
    <col min="4111" max="4111" width="15.875" style="103" customWidth="1"/>
    <col min="4112" max="4112" width="16.25" style="103" customWidth="1"/>
    <col min="4113" max="4113" width="16.75" style="103" customWidth="1"/>
    <col min="4114" max="4114" width="14.875" style="103" customWidth="1"/>
    <col min="4115" max="4115" width="19.625" style="103" bestFit="1" customWidth="1"/>
    <col min="4116" max="4116" width="21.875" style="103" customWidth="1"/>
    <col min="4117" max="4353" width="11" style="103"/>
    <col min="4354" max="4354" width="51" style="103" customWidth="1"/>
    <col min="4355" max="4355" width="19" style="103" customWidth="1"/>
    <col min="4356" max="4356" width="15.375" style="103" customWidth="1"/>
    <col min="4357" max="4357" width="14.5" style="103" customWidth="1"/>
    <col min="4358" max="4358" width="19.75" style="103" customWidth="1"/>
    <col min="4359" max="4359" width="20.5" style="103" customWidth="1"/>
    <col min="4360" max="4360" width="15.25" style="103" customWidth="1"/>
    <col min="4361" max="4361" width="15.625" style="103" customWidth="1"/>
    <col min="4362" max="4362" width="15.625" style="103" bestFit="1" customWidth="1"/>
    <col min="4363" max="4363" width="14.875" style="103" customWidth="1"/>
    <col min="4364" max="4364" width="15.625" style="103" bestFit="1" customWidth="1"/>
    <col min="4365" max="4365" width="15" style="103" customWidth="1"/>
    <col min="4366" max="4366" width="15.625" style="103" bestFit="1" customWidth="1"/>
    <col min="4367" max="4367" width="15.875" style="103" customWidth="1"/>
    <col min="4368" max="4368" width="16.25" style="103" customWidth="1"/>
    <col min="4369" max="4369" width="16.75" style="103" customWidth="1"/>
    <col min="4370" max="4370" width="14.875" style="103" customWidth="1"/>
    <col min="4371" max="4371" width="19.625" style="103" bestFit="1" customWidth="1"/>
    <col min="4372" max="4372" width="21.875" style="103" customWidth="1"/>
    <col min="4373" max="4609" width="11" style="103"/>
    <col min="4610" max="4610" width="51" style="103" customWidth="1"/>
    <col min="4611" max="4611" width="19" style="103" customWidth="1"/>
    <col min="4612" max="4612" width="15.375" style="103" customWidth="1"/>
    <col min="4613" max="4613" width="14.5" style="103" customWidth="1"/>
    <col min="4614" max="4614" width="19.75" style="103" customWidth="1"/>
    <col min="4615" max="4615" width="20.5" style="103" customWidth="1"/>
    <col min="4616" max="4616" width="15.25" style="103" customWidth="1"/>
    <col min="4617" max="4617" width="15.625" style="103" customWidth="1"/>
    <col min="4618" max="4618" width="15.625" style="103" bestFit="1" customWidth="1"/>
    <col min="4619" max="4619" width="14.875" style="103" customWidth="1"/>
    <col min="4620" max="4620" width="15.625" style="103" bestFit="1" customWidth="1"/>
    <col min="4621" max="4621" width="15" style="103" customWidth="1"/>
    <col min="4622" max="4622" width="15.625" style="103" bestFit="1" customWidth="1"/>
    <col min="4623" max="4623" width="15.875" style="103" customWidth="1"/>
    <col min="4624" max="4624" width="16.25" style="103" customWidth="1"/>
    <col min="4625" max="4625" width="16.75" style="103" customWidth="1"/>
    <col min="4626" max="4626" width="14.875" style="103" customWidth="1"/>
    <col min="4627" max="4627" width="19.625" style="103" bestFit="1" customWidth="1"/>
    <col min="4628" max="4628" width="21.875" style="103" customWidth="1"/>
    <col min="4629" max="4865" width="11" style="103"/>
    <col min="4866" max="4866" width="51" style="103" customWidth="1"/>
    <col min="4867" max="4867" width="19" style="103" customWidth="1"/>
    <col min="4868" max="4868" width="15.375" style="103" customWidth="1"/>
    <col min="4869" max="4869" width="14.5" style="103" customWidth="1"/>
    <col min="4870" max="4870" width="19.75" style="103" customWidth="1"/>
    <col min="4871" max="4871" width="20.5" style="103" customWidth="1"/>
    <col min="4872" max="4872" width="15.25" style="103" customWidth="1"/>
    <col min="4873" max="4873" width="15.625" style="103" customWidth="1"/>
    <col min="4874" max="4874" width="15.625" style="103" bestFit="1" customWidth="1"/>
    <col min="4875" max="4875" width="14.875" style="103" customWidth="1"/>
    <col min="4876" max="4876" width="15.625" style="103" bestFit="1" customWidth="1"/>
    <col min="4877" max="4877" width="15" style="103" customWidth="1"/>
    <col min="4878" max="4878" width="15.625" style="103" bestFit="1" customWidth="1"/>
    <col min="4879" max="4879" width="15.875" style="103" customWidth="1"/>
    <col min="4880" max="4880" width="16.25" style="103" customWidth="1"/>
    <col min="4881" max="4881" width="16.75" style="103" customWidth="1"/>
    <col min="4882" max="4882" width="14.875" style="103" customWidth="1"/>
    <col min="4883" max="4883" width="19.625" style="103" bestFit="1" customWidth="1"/>
    <col min="4884" max="4884" width="21.875" style="103" customWidth="1"/>
    <col min="4885" max="5121" width="11" style="103"/>
    <col min="5122" max="5122" width="51" style="103" customWidth="1"/>
    <col min="5123" max="5123" width="19" style="103" customWidth="1"/>
    <col min="5124" max="5124" width="15.375" style="103" customWidth="1"/>
    <col min="5125" max="5125" width="14.5" style="103" customWidth="1"/>
    <col min="5126" max="5126" width="19.75" style="103" customWidth="1"/>
    <col min="5127" max="5127" width="20.5" style="103" customWidth="1"/>
    <col min="5128" max="5128" width="15.25" style="103" customWidth="1"/>
    <col min="5129" max="5129" width="15.625" style="103" customWidth="1"/>
    <col min="5130" max="5130" width="15.625" style="103" bestFit="1" customWidth="1"/>
    <col min="5131" max="5131" width="14.875" style="103" customWidth="1"/>
    <col min="5132" max="5132" width="15.625" style="103" bestFit="1" customWidth="1"/>
    <col min="5133" max="5133" width="15" style="103" customWidth="1"/>
    <col min="5134" max="5134" width="15.625" style="103" bestFit="1" customWidth="1"/>
    <col min="5135" max="5135" width="15.875" style="103" customWidth="1"/>
    <col min="5136" max="5136" width="16.25" style="103" customWidth="1"/>
    <col min="5137" max="5137" width="16.75" style="103" customWidth="1"/>
    <col min="5138" max="5138" width="14.875" style="103" customWidth="1"/>
    <col min="5139" max="5139" width="19.625" style="103" bestFit="1" customWidth="1"/>
    <col min="5140" max="5140" width="21.875" style="103" customWidth="1"/>
    <col min="5141" max="5377" width="11" style="103"/>
    <col min="5378" max="5378" width="51" style="103" customWidth="1"/>
    <col min="5379" max="5379" width="19" style="103" customWidth="1"/>
    <col min="5380" max="5380" width="15.375" style="103" customWidth="1"/>
    <col min="5381" max="5381" width="14.5" style="103" customWidth="1"/>
    <col min="5382" max="5382" width="19.75" style="103" customWidth="1"/>
    <col min="5383" max="5383" width="20.5" style="103" customWidth="1"/>
    <col min="5384" max="5384" width="15.25" style="103" customWidth="1"/>
    <col min="5385" max="5385" width="15.625" style="103" customWidth="1"/>
    <col min="5386" max="5386" width="15.625" style="103" bestFit="1" customWidth="1"/>
    <col min="5387" max="5387" width="14.875" style="103" customWidth="1"/>
    <col min="5388" max="5388" width="15.625" style="103" bestFit="1" customWidth="1"/>
    <col min="5389" max="5389" width="15" style="103" customWidth="1"/>
    <col min="5390" max="5390" width="15.625" style="103" bestFit="1" customWidth="1"/>
    <col min="5391" max="5391" width="15.875" style="103" customWidth="1"/>
    <col min="5392" max="5392" width="16.25" style="103" customWidth="1"/>
    <col min="5393" max="5393" width="16.75" style="103" customWidth="1"/>
    <col min="5394" max="5394" width="14.875" style="103" customWidth="1"/>
    <col min="5395" max="5395" width="19.625" style="103" bestFit="1" customWidth="1"/>
    <col min="5396" max="5396" width="21.875" style="103" customWidth="1"/>
    <col min="5397" max="5633" width="11" style="103"/>
    <col min="5634" max="5634" width="51" style="103" customWidth="1"/>
    <col min="5635" max="5635" width="19" style="103" customWidth="1"/>
    <col min="5636" max="5636" width="15.375" style="103" customWidth="1"/>
    <col min="5637" max="5637" width="14.5" style="103" customWidth="1"/>
    <col min="5638" max="5638" width="19.75" style="103" customWidth="1"/>
    <col min="5639" max="5639" width="20.5" style="103" customWidth="1"/>
    <col min="5640" max="5640" width="15.25" style="103" customWidth="1"/>
    <col min="5641" max="5641" width="15.625" style="103" customWidth="1"/>
    <col min="5642" max="5642" width="15.625" style="103" bestFit="1" customWidth="1"/>
    <col min="5643" max="5643" width="14.875" style="103" customWidth="1"/>
    <col min="5644" max="5644" width="15.625" style="103" bestFit="1" customWidth="1"/>
    <col min="5645" max="5645" width="15" style="103" customWidth="1"/>
    <col min="5646" max="5646" width="15.625" style="103" bestFit="1" customWidth="1"/>
    <col min="5647" max="5647" width="15.875" style="103" customWidth="1"/>
    <col min="5648" max="5648" width="16.25" style="103" customWidth="1"/>
    <col min="5649" max="5649" width="16.75" style="103" customWidth="1"/>
    <col min="5650" max="5650" width="14.875" style="103" customWidth="1"/>
    <col min="5651" max="5651" width="19.625" style="103" bestFit="1" customWidth="1"/>
    <col min="5652" max="5652" width="21.875" style="103" customWidth="1"/>
    <col min="5653" max="5889" width="11" style="103"/>
    <col min="5890" max="5890" width="51" style="103" customWidth="1"/>
    <col min="5891" max="5891" width="19" style="103" customWidth="1"/>
    <col min="5892" max="5892" width="15.375" style="103" customWidth="1"/>
    <col min="5893" max="5893" width="14.5" style="103" customWidth="1"/>
    <col min="5894" max="5894" width="19.75" style="103" customWidth="1"/>
    <col min="5895" max="5895" width="20.5" style="103" customWidth="1"/>
    <col min="5896" max="5896" width="15.25" style="103" customWidth="1"/>
    <col min="5897" max="5897" width="15.625" style="103" customWidth="1"/>
    <col min="5898" max="5898" width="15.625" style="103" bestFit="1" customWidth="1"/>
    <col min="5899" max="5899" width="14.875" style="103" customWidth="1"/>
    <col min="5900" max="5900" width="15.625" style="103" bestFit="1" customWidth="1"/>
    <col min="5901" max="5901" width="15" style="103" customWidth="1"/>
    <col min="5902" max="5902" width="15.625" style="103" bestFit="1" customWidth="1"/>
    <col min="5903" max="5903" width="15.875" style="103" customWidth="1"/>
    <col min="5904" max="5904" width="16.25" style="103" customWidth="1"/>
    <col min="5905" max="5905" width="16.75" style="103" customWidth="1"/>
    <col min="5906" max="5906" width="14.875" style="103" customWidth="1"/>
    <col min="5907" max="5907" width="19.625" style="103" bestFit="1" customWidth="1"/>
    <col min="5908" max="5908" width="21.875" style="103" customWidth="1"/>
    <col min="5909" max="6145" width="11" style="103"/>
    <col min="6146" max="6146" width="51" style="103" customWidth="1"/>
    <col min="6147" max="6147" width="19" style="103" customWidth="1"/>
    <col min="6148" max="6148" width="15.375" style="103" customWidth="1"/>
    <col min="6149" max="6149" width="14.5" style="103" customWidth="1"/>
    <col min="6150" max="6150" width="19.75" style="103" customWidth="1"/>
    <col min="6151" max="6151" width="20.5" style="103" customWidth="1"/>
    <col min="6152" max="6152" width="15.25" style="103" customWidth="1"/>
    <col min="6153" max="6153" width="15.625" style="103" customWidth="1"/>
    <col min="6154" max="6154" width="15.625" style="103" bestFit="1" customWidth="1"/>
    <col min="6155" max="6155" width="14.875" style="103" customWidth="1"/>
    <col min="6156" max="6156" width="15.625" style="103" bestFit="1" customWidth="1"/>
    <col min="6157" max="6157" width="15" style="103" customWidth="1"/>
    <col min="6158" max="6158" width="15.625" style="103" bestFit="1" customWidth="1"/>
    <col min="6159" max="6159" width="15.875" style="103" customWidth="1"/>
    <col min="6160" max="6160" width="16.25" style="103" customWidth="1"/>
    <col min="6161" max="6161" width="16.75" style="103" customWidth="1"/>
    <col min="6162" max="6162" width="14.875" style="103" customWidth="1"/>
    <col min="6163" max="6163" width="19.625" style="103" bestFit="1" customWidth="1"/>
    <col min="6164" max="6164" width="21.875" style="103" customWidth="1"/>
    <col min="6165" max="6401" width="11" style="103"/>
    <col min="6402" max="6402" width="51" style="103" customWidth="1"/>
    <col min="6403" max="6403" width="19" style="103" customWidth="1"/>
    <col min="6404" max="6404" width="15.375" style="103" customWidth="1"/>
    <col min="6405" max="6405" width="14.5" style="103" customWidth="1"/>
    <col min="6406" max="6406" width="19.75" style="103" customWidth="1"/>
    <col min="6407" max="6407" width="20.5" style="103" customWidth="1"/>
    <col min="6408" max="6408" width="15.25" style="103" customWidth="1"/>
    <col min="6409" max="6409" width="15.625" style="103" customWidth="1"/>
    <col min="6410" max="6410" width="15.625" style="103" bestFit="1" customWidth="1"/>
    <col min="6411" max="6411" width="14.875" style="103" customWidth="1"/>
    <col min="6412" max="6412" width="15.625" style="103" bestFit="1" customWidth="1"/>
    <col min="6413" max="6413" width="15" style="103" customWidth="1"/>
    <col min="6414" max="6414" width="15.625" style="103" bestFit="1" customWidth="1"/>
    <col min="6415" max="6415" width="15.875" style="103" customWidth="1"/>
    <col min="6416" max="6416" width="16.25" style="103" customWidth="1"/>
    <col min="6417" max="6417" width="16.75" style="103" customWidth="1"/>
    <col min="6418" max="6418" width="14.875" style="103" customWidth="1"/>
    <col min="6419" max="6419" width="19.625" style="103" bestFit="1" customWidth="1"/>
    <col min="6420" max="6420" width="21.875" style="103" customWidth="1"/>
    <col min="6421" max="6657" width="11" style="103"/>
    <col min="6658" max="6658" width="51" style="103" customWidth="1"/>
    <col min="6659" max="6659" width="19" style="103" customWidth="1"/>
    <col min="6660" max="6660" width="15.375" style="103" customWidth="1"/>
    <col min="6661" max="6661" width="14.5" style="103" customWidth="1"/>
    <col min="6662" max="6662" width="19.75" style="103" customWidth="1"/>
    <col min="6663" max="6663" width="20.5" style="103" customWidth="1"/>
    <col min="6664" max="6664" width="15.25" style="103" customWidth="1"/>
    <col min="6665" max="6665" width="15.625" style="103" customWidth="1"/>
    <col min="6666" max="6666" width="15.625" style="103" bestFit="1" customWidth="1"/>
    <col min="6667" max="6667" width="14.875" style="103" customWidth="1"/>
    <col min="6668" max="6668" width="15.625" style="103" bestFit="1" customWidth="1"/>
    <col min="6669" max="6669" width="15" style="103" customWidth="1"/>
    <col min="6670" max="6670" width="15.625" style="103" bestFit="1" customWidth="1"/>
    <col min="6671" max="6671" width="15.875" style="103" customWidth="1"/>
    <col min="6672" max="6672" width="16.25" style="103" customWidth="1"/>
    <col min="6673" max="6673" width="16.75" style="103" customWidth="1"/>
    <col min="6674" max="6674" width="14.875" style="103" customWidth="1"/>
    <col min="6675" max="6675" width="19.625" style="103" bestFit="1" customWidth="1"/>
    <col min="6676" max="6676" width="21.875" style="103" customWidth="1"/>
    <col min="6677" max="6913" width="11" style="103"/>
    <col min="6914" max="6914" width="51" style="103" customWidth="1"/>
    <col min="6915" max="6915" width="19" style="103" customWidth="1"/>
    <col min="6916" max="6916" width="15.375" style="103" customWidth="1"/>
    <col min="6917" max="6917" width="14.5" style="103" customWidth="1"/>
    <col min="6918" max="6918" width="19.75" style="103" customWidth="1"/>
    <col min="6919" max="6919" width="20.5" style="103" customWidth="1"/>
    <col min="6920" max="6920" width="15.25" style="103" customWidth="1"/>
    <col min="6921" max="6921" width="15.625" style="103" customWidth="1"/>
    <col min="6922" max="6922" width="15.625" style="103" bestFit="1" customWidth="1"/>
    <col min="6923" max="6923" width="14.875" style="103" customWidth="1"/>
    <col min="6924" max="6924" width="15.625" style="103" bestFit="1" customWidth="1"/>
    <col min="6925" max="6925" width="15" style="103" customWidth="1"/>
    <col min="6926" max="6926" width="15.625" style="103" bestFit="1" customWidth="1"/>
    <col min="6927" max="6927" width="15.875" style="103" customWidth="1"/>
    <col min="6928" max="6928" width="16.25" style="103" customWidth="1"/>
    <col min="6929" max="6929" width="16.75" style="103" customWidth="1"/>
    <col min="6930" max="6930" width="14.875" style="103" customWidth="1"/>
    <col min="6931" max="6931" width="19.625" style="103" bestFit="1" customWidth="1"/>
    <col min="6932" max="6932" width="21.875" style="103" customWidth="1"/>
    <col min="6933" max="7169" width="11" style="103"/>
    <col min="7170" max="7170" width="51" style="103" customWidth="1"/>
    <col min="7171" max="7171" width="19" style="103" customWidth="1"/>
    <col min="7172" max="7172" width="15.375" style="103" customWidth="1"/>
    <col min="7173" max="7173" width="14.5" style="103" customWidth="1"/>
    <col min="7174" max="7174" width="19.75" style="103" customWidth="1"/>
    <col min="7175" max="7175" width="20.5" style="103" customWidth="1"/>
    <col min="7176" max="7176" width="15.25" style="103" customWidth="1"/>
    <col min="7177" max="7177" width="15.625" style="103" customWidth="1"/>
    <col min="7178" max="7178" width="15.625" style="103" bestFit="1" customWidth="1"/>
    <col min="7179" max="7179" width="14.875" style="103" customWidth="1"/>
    <col min="7180" max="7180" width="15.625" style="103" bestFit="1" customWidth="1"/>
    <col min="7181" max="7181" width="15" style="103" customWidth="1"/>
    <col min="7182" max="7182" width="15.625" style="103" bestFit="1" customWidth="1"/>
    <col min="7183" max="7183" width="15.875" style="103" customWidth="1"/>
    <col min="7184" max="7184" width="16.25" style="103" customWidth="1"/>
    <col min="7185" max="7185" width="16.75" style="103" customWidth="1"/>
    <col min="7186" max="7186" width="14.875" style="103" customWidth="1"/>
    <col min="7187" max="7187" width="19.625" style="103" bestFit="1" customWidth="1"/>
    <col min="7188" max="7188" width="21.875" style="103" customWidth="1"/>
    <col min="7189" max="7425" width="11" style="103"/>
    <col min="7426" max="7426" width="51" style="103" customWidth="1"/>
    <col min="7427" max="7427" width="19" style="103" customWidth="1"/>
    <col min="7428" max="7428" width="15.375" style="103" customWidth="1"/>
    <col min="7429" max="7429" width="14.5" style="103" customWidth="1"/>
    <col min="7430" max="7430" width="19.75" style="103" customWidth="1"/>
    <col min="7431" max="7431" width="20.5" style="103" customWidth="1"/>
    <col min="7432" max="7432" width="15.25" style="103" customWidth="1"/>
    <col min="7433" max="7433" width="15.625" style="103" customWidth="1"/>
    <col min="7434" max="7434" width="15.625" style="103" bestFit="1" customWidth="1"/>
    <col min="7435" max="7435" width="14.875" style="103" customWidth="1"/>
    <col min="7436" max="7436" width="15.625" style="103" bestFit="1" customWidth="1"/>
    <col min="7437" max="7437" width="15" style="103" customWidth="1"/>
    <col min="7438" max="7438" width="15.625" style="103" bestFit="1" customWidth="1"/>
    <col min="7439" max="7439" width="15.875" style="103" customWidth="1"/>
    <col min="7440" max="7440" width="16.25" style="103" customWidth="1"/>
    <col min="7441" max="7441" width="16.75" style="103" customWidth="1"/>
    <col min="7442" max="7442" width="14.875" style="103" customWidth="1"/>
    <col min="7443" max="7443" width="19.625" style="103" bestFit="1" customWidth="1"/>
    <col min="7444" max="7444" width="21.875" style="103" customWidth="1"/>
    <col min="7445" max="7681" width="11" style="103"/>
    <col min="7682" max="7682" width="51" style="103" customWidth="1"/>
    <col min="7683" max="7683" width="19" style="103" customWidth="1"/>
    <col min="7684" max="7684" width="15.375" style="103" customWidth="1"/>
    <col min="7685" max="7685" width="14.5" style="103" customWidth="1"/>
    <col min="7686" max="7686" width="19.75" style="103" customWidth="1"/>
    <col min="7687" max="7687" width="20.5" style="103" customWidth="1"/>
    <col min="7688" max="7688" width="15.25" style="103" customWidth="1"/>
    <col min="7689" max="7689" width="15.625" style="103" customWidth="1"/>
    <col min="7690" max="7690" width="15.625" style="103" bestFit="1" customWidth="1"/>
    <col min="7691" max="7691" width="14.875" style="103" customWidth="1"/>
    <col min="7692" max="7692" width="15.625" style="103" bestFit="1" customWidth="1"/>
    <col min="7693" max="7693" width="15" style="103" customWidth="1"/>
    <col min="7694" max="7694" width="15.625" style="103" bestFit="1" customWidth="1"/>
    <col min="7695" max="7695" width="15.875" style="103" customWidth="1"/>
    <col min="7696" max="7696" width="16.25" style="103" customWidth="1"/>
    <col min="7697" max="7697" width="16.75" style="103" customWidth="1"/>
    <col min="7698" max="7698" width="14.875" style="103" customWidth="1"/>
    <col min="7699" max="7699" width="19.625" style="103" bestFit="1" customWidth="1"/>
    <col min="7700" max="7700" width="21.875" style="103" customWidth="1"/>
    <col min="7701" max="7937" width="11" style="103"/>
    <col min="7938" max="7938" width="51" style="103" customWidth="1"/>
    <col min="7939" max="7939" width="19" style="103" customWidth="1"/>
    <col min="7940" max="7940" width="15.375" style="103" customWidth="1"/>
    <col min="7941" max="7941" width="14.5" style="103" customWidth="1"/>
    <col min="7942" max="7942" width="19.75" style="103" customWidth="1"/>
    <col min="7943" max="7943" width="20.5" style="103" customWidth="1"/>
    <col min="7944" max="7944" width="15.25" style="103" customWidth="1"/>
    <col min="7945" max="7945" width="15.625" style="103" customWidth="1"/>
    <col min="7946" max="7946" width="15.625" style="103" bestFit="1" customWidth="1"/>
    <col min="7947" max="7947" width="14.875" style="103" customWidth="1"/>
    <col min="7948" max="7948" width="15.625" style="103" bestFit="1" customWidth="1"/>
    <col min="7949" max="7949" width="15" style="103" customWidth="1"/>
    <col min="7950" max="7950" width="15.625" style="103" bestFit="1" customWidth="1"/>
    <col min="7951" max="7951" width="15.875" style="103" customWidth="1"/>
    <col min="7952" max="7952" width="16.25" style="103" customWidth="1"/>
    <col min="7953" max="7953" width="16.75" style="103" customWidth="1"/>
    <col min="7954" max="7954" width="14.875" style="103" customWidth="1"/>
    <col min="7955" max="7955" width="19.625" style="103" bestFit="1" customWidth="1"/>
    <col min="7956" max="7956" width="21.875" style="103" customWidth="1"/>
    <col min="7957" max="8193" width="11" style="103"/>
    <col min="8194" max="8194" width="51" style="103" customWidth="1"/>
    <col min="8195" max="8195" width="19" style="103" customWidth="1"/>
    <col min="8196" max="8196" width="15.375" style="103" customWidth="1"/>
    <col min="8197" max="8197" width="14.5" style="103" customWidth="1"/>
    <col min="8198" max="8198" width="19.75" style="103" customWidth="1"/>
    <col min="8199" max="8199" width="20.5" style="103" customWidth="1"/>
    <col min="8200" max="8200" width="15.25" style="103" customWidth="1"/>
    <col min="8201" max="8201" width="15.625" style="103" customWidth="1"/>
    <col min="8202" max="8202" width="15.625" style="103" bestFit="1" customWidth="1"/>
    <col min="8203" max="8203" width="14.875" style="103" customWidth="1"/>
    <col min="8204" max="8204" width="15.625" style="103" bestFit="1" customWidth="1"/>
    <col min="8205" max="8205" width="15" style="103" customWidth="1"/>
    <col min="8206" max="8206" width="15.625" style="103" bestFit="1" customWidth="1"/>
    <col min="8207" max="8207" width="15.875" style="103" customWidth="1"/>
    <col min="8208" max="8208" width="16.25" style="103" customWidth="1"/>
    <col min="8209" max="8209" width="16.75" style="103" customWidth="1"/>
    <col min="8210" max="8210" width="14.875" style="103" customWidth="1"/>
    <col min="8211" max="8211" width="19.625" style="103" bestFit="1" customWidth="1"/>
    <col min="8212" max="8212" width="21.875" style="103" customWidth="1"/>
    <col min="8213" max="8449" width="11" style="103"/>
    <col min="8450" max="8450" width="51" style="103" customWidth="1"/>
    <col min="8451" max="8451" width="19" style="103" customWidth="1"/>
    <col min="8452" max="8452" width="15.375" style="103" customWidth="1"/>
    <col min="8453" max="8453" width="14.5" style="103" customWidth="1"/>
    <col min="8454" max="8454" width="19.75" style="103" customWidth="1"/>
    <col min="8455" max="8455" width="20.5" style="103" customWidth="1"/>
    <col min="8456" max="8456" width="15.25" style="103" customWidth="1"/>
    <col min="8457" max="8457" width="15.625" style="103" customWidth="1"/>
    <col min="8458" max="8458" width="15.625" style="103" bestFit="1" customWidth="1"/>
    <col min="8459" max="8459" width="14.875" style="103" customWidth="1"/>
    <col min="8460" max="8460" width="15.625" style="103" bestFit="1" customWidth="1"/>
    <col min="8461" max="8461" width="15" style="103" customWidth="1"/>
    <col min="8462" max="8462" width="15.625" style="103" bestFit="1" customWidth="1"/>
    <col min="8463" max="8463" width="15.875" style="103" customWidth="1"/>
    <col min="8464" max="8464" width="16.25" style="103" customWidth="1"/>
    <col min="8465" max="8465" width="16.75" style="103" customWidth="1"/>
    <col min="8466" max="8466" width="14.875" style="103" customWidth="1"/>
    <col min="8467" max="8467" width="19.625" style="103" bestFit="1" customWidth="1"/>
    <col min="8468" max="8468" width="21.875" style="103" customWidth="1"/>
    <col min="8469" max="8705" width="11" style="103"/>
    <col min="8706" max="8706" width="51" style="103" customWidth="1"/>
    <col min="8707" max="8707" width="19" style="103" customWidth="1"/>
    <col min="8708" max="8708" width="15.375" style="103" customWidth="1"/>
    <col min="8709" max="8709" width="14.5" style="103" customWidth="1"/>
    <col min="8710" max="8710" width="19.75" style="103" customWidth="1"/>
    <col min="8711" max="8711" width="20.5" style="103" customWidth="1"/>
    <col min="8712" max="8712" width="15.25" style="103" customWidth="1"/>
    <col min="8713" max="8713" width="15.625" style="103" customWidth="1"/>
    <col min="8714" max="8714" width="15.625" style="103" bestFit="1" customWidth="1"/>
    <col min="8715" max="8715" width="14.875" style="103" customWidth="1"/>
    <col min="8716" max="8716" width="15.625" style="103" bestFit="1" customWidth="1"/>
    <col min="8717" max="8717" width="15" style="103" customWidth="1"/>
    <col min="8718" max="8718" width="15.625" style="103" bestFit="1" customWidth="1"/>
    <col min="8719" max="8719" width="15.875" style="103" customWidth="1"/>
    <col min="8720" max="8720" width="16.25" style="103" customWidth="1"/>
    <col min="8721" max="8721" width="16.75" style="103" customWidth="1"/>
    <col min="8722" max="8722" width="14.875" style="103" customWidth="1"/>
    <col min="8723" max="8723" width="19.625" style="103" bestFit="1" customWidth="1"/>
    <col min="8724" max="8724" width="21.875" style="103" customWidth="1"/>
    <col min="8725" max="8961" width="11" style="103"/>
    <col min="8962" max="8962" width="51" style="103" customWidth="1"/>
    <col min="8963" max="8963" width="19" style="103" customWidth="1"/>
    <col min="8964" max="8964" width="15.375" style="103" customWidth="1"/>
    <col min="8965" max="8965" width="14.5" style="103" customWidth="1"/>
    <col min="8966" max="8966" width="19.75" style="103" customWidth="1"/>
    <col min="8967" max="8967" width="20.5" style="103" customWidth="1"/>
    <col min="8968" max="8968" width="15.25" style="103" customWidth="1"/>
    <col min="8969" max="8969" width="15.625" style="103" customWidth="1"/>
    <col min="8970" max="8970" width="15.625" style="103" bestFit="1" customWidth="1"/>
    <col min="8971" max="8971" width="14.875" style="103" customWidth="1"/>
    <col min="8972" max="8972" width="15.625" style="103" bestFit="1" customWidth="1"/>
    <col min="8973" max="8973" width="15" style="103" customWidth="1"/>
    <col min="8974" max="8974" width="15.625" style="103" bestFit="1" customWidth="1"/>
    <col min="8975" max="8975" width="15.875" style="103" customWidth="1"/>
    <col min="8976" max="8976" width="16.25" style="103" customWidth="1"/>
    <col min="8977" max="8977" width="16.75" style="103" customWidth="1"/>
    <col min="8978" max="8978" width="14.875" style="103" customWidth="1"/>
    <col min="8979" max="8979" width="19.625" style="103" bestFit="1" customWidth="1"/>
    <col min="8980" max="8980" width="21.875" style="103" customWidth="1"/>
    <col min="8981" max="9217" width="11" style="103"/>
    <col min="9218" max="9218" width="51" style="103" customWidth="1"/>
    <col min="9219" max="9219" width="19" style="103" customWidth="1"/>
    <col min="9220" max="9220" width="15.375" style="103" customWidth="1"/>
    <col min="9221" max="9221" width="14.5" style="103" customWidth="1"/>
    <col min="9222" max="9222" width="19.75" style="103" customWidth="1"/>
    <col min="9223" max="9223" width="20.5" style="103" customWidth="1"/>
    <col min="9224" max="9224" width="15.25" style="103" customWidth="1"/>
    <col min="9225" max="9225" width="15.625" style="103" customWidth="1"/>
    <col min="9226" max="9226" width="15.625" style="103" bestFit="1" customWidth="1"/>
    <col min="9227" max="9227" width="14.875" style="103" customWidth="1"/>
    <col min="9228" max="9228" width="15.625" style="103" bestFit="1" customWidth="1"/>
    <col min="9229" max="9229" width="15" style="103" customWidth="1"/>
    <col min="9230" max="9230" width="15.625" style="103" bestFit="1" customWidth="1"/>
    <col min="9231" max="9231" width="15.875" style="103" customWidth="1"/>
    <col min="9232" max="9232" width="16.25" style="103" customWidth="1"/>
    <col min="9233" max="9233" width="16.75" style="103" customWidth="1"/>
    <col min="9234" max="9234" width="14.875" style="103" customWidth="1"/>
    <col min="9235" max="9235" width="19.625" style="103" bestFit="1" customWidth="1"/>
    <col min="9236" max="9236" width="21.875" style="103" customWidth="1"/>
    <col min="9237" max="9473" width="11" style="103"/>
    <col min="9474" max="9474" width="51" style="103" customWidth="1"/>
    <col min="9475" max="9475" width="19" style="103" customWidth="1"/>
    <col min="9476" max="9476" width="15.375" style="103" customWidth="1"/>
    <col min="9477" max="9477" width="14.5" style="103" customWidth="1"/>
    <col min="9478" max="9478" width="19.75" style="103" customWidth="1"/>
    <col min="9479" max="9479" width="20.5" style="103" customWidth="1"/>
    <col min="9480" max="9480" width="15.25" style="103" customWidth="1"/>
    <col min="9481" max="9481" width="15.625" style="103" customWidth="1"/>
    <col min="9482" max="9482" width="15.625" style="103" bestFit="1" customWidth="1"/>
    <col min="9483" max="9483" width="14.875" style="103" customWidth="1"/>
    <col min="9484" max="9484" width="15.625" style="103" bestFit="1" customWidth="1"/>
    <col min="9485" max="9485" width="15" style="103" customWidth="1"/>
    <col min="9486" max="9486" width="15.625" style="103" bestFit="1" customWidth="1"/>
    <col min="9487" max="9487" width="15.875" style="103" customWidth="1"/>
    <col min="9488" max="9488" width="16.25" style="103" customWidth="1"/>
    <col min="9489" max="9489" width="16.75" style="103" customWidth="1"/>
    <col min="9490" max="9490" width="14.875" style="103" customWidth="1"/>
    <col min="9491" max="9491" width="19.625" style="103" bestFit="1" customWidth="1"/>
    <col min="9492" max="9492" width="21.875" style="103" customWidth="1"/>
    <col min="9493" max="9729" width="11" style="103"/>
    <col min="9730" max="9730" width="51" style="103" customWidth="1"/>
    <col min="9731" max="9731" width="19" style="103" customWidth="1"/>
    <col min="9732" max="9732" width="15.375" style="103" customWidth="1"/>
    <col min="9733" max="9733" width="14.5" style="103" customWidth="1"/>
    <col min="9734" max="9734" width="19.75" style="103" customWidth="1"/>
    <col min="9735" max="9735" width="20.5" style="103" customWidth="1"/>
    <col min="9736" max="9736" width="15.25" style="103" customWidth="1"/>
    <col min="9737" max="9737" width="15.625" style="103" customWidth="1"/>
    <col min="9738" max="9738" width="15.625" style="103" bestFit="1" customWidth="1"/>
    <col min="9739" max="9739" width="14.875" style="103" customWidth="1"/>
    <col min="9740" max="9740" width="15.625" style="103" bestFit="1" customWidth="1"/>
    <col min="9741" max="9741" width="15" style="103" customWidth="1"/>
    <col min="9742" max="9742" width="15.625" style="103" bestFit="1" customWidth="1"/>
    <col min="9743" max="9743" width="15.875" style="103" customWidth="1"/>
    <col min="9744" max="9744" width="16.25" style="103" customWidth="1"/>
    <col min="9745" max="9745" width="16.75" style="103" customWidth="1"/>
    <col min="9746" max="9746" width="14.875" style="103" customWidth="1"/>
    <col min="9747" max="9747" width="19.625" style="103" bestFit="1" customWidth="1"/>
    <col min="9748" max="9748" width="21.875" style="103" customWidth="1"/>
    <col min="9749" max="9985" width="11" style="103"/>
    <col min="9986" max="9986" width="51" style="103" customWidth="1"/>
    <col min="9987" max="9987" width="19" style="103" customWidth="1"/>
    <col min="9988" max="9988" width="15.375" style="103" customWidth="1"/>
    <col min="9989" max="9989" width="14.5" style="103" customWidth="1"/>
    <col min="9990" max="9990" width="19.75" style="103" customWidth="1"/>
    <col min="9991" max="9991" width="20.5" style="103" customWidth="1"/>
    <col min="9992" max="9992" width="15.25" style="103" customWidth="1"/>
    <col min="9993" max="9993" width="15.625" style="103" customWidth="1"/>
    <col min="9994" max="9994" width="15.625" style="103" bestFit="1" customWidth="1"/>
    <col min="9995" max="9995" width="14.875" style="103" customWidth="1"/>
    <col min="9996" max="9996" width="15.625" style="103" bestFit="1" customWidth="1"/>
    <col min="9997" max="9997" width="15" style="103" customWidth="1"/>
    <col min="9998" max="9998" width="15.625" style="103" bestFit="1" customWidth="1"/>
    <col min="9999" max="9999" width="15.875" style="103" customWidth="1"/>
    <col min="10000" max="10000" width="16.25" style="103" customWidth="1"/>
    <col min="10001" max="10001" width="16.75" style="103" customWidth="1"/>
    <col min="10002" max="10002" width="14.875" style="103" customWidth="1"/>
    <col min="10003" max="10003" width="19.625" style="103" bestFit="1" customWidth="1"/>
    <col min="10004" max="10004" width="21.875" style="103" customWidth="1"/>
    <col min="10005" max="10241" width="11" style="103"/>
    <col min="10242" max="10242" width="51" style="103" customWidth="1"/>
    <col min="10243" max="10243" width="19" style="103" customWidth="1"/>
    <col min="10244" max="10244" width="15.375" style="103" customWidth="1"/>
    <col min="10245" max="10245" width="14.5" style="103" customWidth="1"/>
    <col min="10246" max="10246" width="19.75" style="103" customWidth="1"/>
    <col min="10247" max="10247" width="20.5" style="103" customWidth="1"/>
    <col min="10248" max="10248" width="15.25" style="103" customWidth="1"/>
    <col min="10249" max="10249" width="15.625" style="103" customWidth="1"/>
    <col min="10250" max="10250" width="15.625" style="103" bestFit="1" customWidth="1"/>
    <col min="10251" max="10251" width="14.875" style="103" customWidth="1"/>
    <col min="10252" max="10252" width="15.625" style="103" bestFit="1" customWidth="1"/>
    <col min="10253" max="10253" width="15" style="103" customWidth="1"/>
    <col min="10254" max="10254" width="15.625" style="103" bestFit="1" customWidth="1"/>
    <col min="10255" max="10255" width="15.875" style="103" customWidth="1"/>
    <col min="10256" max="10256" width="16.25" style="103" customWidth="1"/>
    <col min="10257" max="10257" width="16.75" style="103" customWidth="1"/>
    <col min="10258" max="10258" width="14.875" style="103" customWidth="1"/>
    <col min="10259" max="10259" width="19.625" style="103" bestFit="1" customWidth="1"/>
    <col min="10260" max="10260" width="21.875" style="103" customWidth="1"/>
    <col min="10261" max="10497" width="11" style="103"/>
    <col min="10498" max="10498" width="51" style="103" customWidth="1"/>
    <col min="10499" max="10499" width="19" style="103" customWidth="1"/>
    <col min="10500" max="10500" width="15.375" style="103" customWidth="1"/>
    <col min="10501" max="10501" width="14.5" style="103" customWidth="1"/>
    <col min="10502" max="10502" width="19.75" style="103" customWidth="1"/>
    <col min="10503" max="10503" width="20.5" style="103" customWidth="1"/>
    <col min="10504" max="10504" width="15.25" style="103" customWidth="1"/>
    <col min="10505" max="10505" width="15.625" style="103" customWidth="1"/>
    <col min="10506" max="10506" width="15.625" style="103" bestFit="1" customWidth="1"/>
    <col min="10507" max="10507" width="14.875" style="103" customWidth="1"/>
    <col min="10508" max="10508" width="15.625" style="103" bestFit="1" customWidth="1"/>
    <col min="10509" max="10509" width="15" style="103" customWidth="1"/>
    <col min="10510" max="10510" width="15.625" style="103" bestFit="1" customWidth="1"/>
    <col min="10511" max="10511" width="15.875" style="103" customWidth="1"/>
    <col min="10512" max="10512" width="16.25" style="103" customWidth="1"/>
    <col min="10513" max="10513" width="16.75" style="103" customWidth="1"/>
    <col min="10514" max="10514" width="14.875" style="103" customWidth="1"/>
    <col min="10515" max="10515" width="19.625" style="103" bestFit="1" customWidth="1"/>
    <col min="10516" max="10516" width="21.875" style="103" customWidth="1"/>
    <col min="10517" max="10753" width="11" style="103"/>
    <col min="10754" max="10754" width="51" style="103" customWidth="1"/>
    <col min="10755" max="10755" width="19" style="103" customWidth="1"/>
    <col min="10756" max="10756" width="15.375" style="103" customWidth="1"/>
    <col min="10757" max="10757" width="14.5" style="103" customWidth="1"/>
    <col min="10758" max="10758" width="19.75" style="103" customWidth="1"/>
    <col min="10759" max="10759" width="20.5" style="103" customWidth="1"/>
    <col min="10760" max="10760" width="15.25" style="103" customWidth="1"/>
    <col min="10761" max="10761" width="15.625" style="103" customWidth="1"/>
    <col min="10762" max="10762" width="15.625" style="103" bestFit="1" customWidth="1"/>
    <col min="10763" max="10763" width="14.875" style="103" customWidth="1"/>
    <col min="10764" max="10764" width="15.625" style="103" bestFit="1" customWidth="1"/>
    <col min="10765" max="10765" width="15" style="103" customWidth="1"/>
    <col min="10766" max="10766" width="15.625" style="103" bestFit="1" customWidth="1"/>
    <col min="10767" max="10767" width="15.875" style="103" customWidth="1"/>
    <col min="10768" max="10768" width="16.25" style="103" customWidth="1"/>
    <col min="10769" max="10769" width="16.75" style="103" customWidth="1"/>
    <col min="10770" max="10770" width="14.875" style="103" customWidth="1"/>
    <col min="10771" max="10771" width="19.625" style="103" bestFit="1" customWidth="1"/>
    <col min="10772" max="10772" width="21.875" style="103" customWidth="1"/>
    <col min="10773" max="11009" width="11" style="103"/>
    <col min="11010" max="11010" width="51" style="103" customWidth="1"/>
    <col min="11011" max="11011" width="19" style="103" customWidth="1"/>
    <col min="11012" max="11012" width="15.375" style="103" customWidth="1"/>
    <col min="11013" max="11013" width="14.5" style="103" customWidth="1"/>
    <col min="11014" max="11014" width="19.75" style="103" customWidth="1"/>
    <col min="11015" max="11015" width="20.5" style="103" customWidth="1"/>
    <col min="11016" max="11016" width="15.25" style="103" customWidth="1"/>
    <col min="11017" max="11017" width="15.625" style="103" customWidth="1"/>
    <col min="11018" max="11018" width="15.625" style="103" bestFit="1" customWidth="1"/>
    <col min="11019" max="11019" width="14.875" style="103" customWidth="1"/>
    <col min="11020" max="11020" width="15.625" style="103" bestFit="1" customWidth="1"/>
    <col min="11021" max="11021" width="15" style="103" customWidth="1"/>
    <col min="11022" max="11022" width="15.625" style="103" bestFit="1" customWidth="1"/>
    <col min="11023" max="11023" width="15.875" style="103" customWidth="1"/>
    <col min="11024" max="11024" width="16.25" style="103" customWidth="1"/>
    <col min="11025" max="11025" width="16.75" style="103" customWidth="1"/>
    <col min="11026" max="11026" width="14.875" style="103" customWidth="1"/>
    <col min="11027" max="11027" width="19.625" style="103" bestFit="1" customWidth="1"/>
    <col min="11028" max="11028" width="21.875" style="103" customWidth="1"/>
    <col min="11029" max="11265" width="11" style="103"/>
    <col min="11266" max="11266" width="51" style="103" customWidth="1"/>
    <col min="11267" max="11267" width="19" style="103" customWidth="1"/>
    <col min="11268" max="11268" width="15.375" style="103" customWidth="1"/>
    <col min="11269" max="11269" width="14.5" style="103" customWidth="1"/>
    <col min="11270" max="11270" width="19.75" style="103" customWidth="1"/>
    <col min="11271" max="11271" width="20.5" style="103" customWidth="1"/>
    <col min="11272" max="11272" width="15.25" style="103" customWidth="1"/>
    <col min="11273" max="11273" width="15.625" style="103" customWidth="1"/>
    <col min="11274" max="11274" width="15.625" style="103" bestFit="1" customWidth="1"/>
    <col min="11275" max="11275" width="14.875" style="103" customWidth="1"/>
    <col min="11276" max="11276" width="15.625" style="103" bestFit="1" customWidth="1"/>
    <col min="11277" max="11277" width="15" style="103" customWidth="1"/>
    <col min="11278" max="11278" width="15.625" style="103" bestFit="1" customWidth="1"/>
    <col min="11279" max="11279" width="15.875" style="103" customWidth="1"/>
    <col min="11280" max="11280" width="16.25" style="103" customWidth="1"/>
    <col min="11281" max="11281" width="16.75" style="103" customWidth="1"/>
    <col min="11282" max="11282" width="14.875" style="103" customWidth="1"/>
    <col min="11283" max="11283" width="19.625" style="103" bestFit="1" customWidth="1"/>
    <col min="11284" max="11284" width="21.875" style="103" customWidth="1"/>
    <col min="11285" max="11521" width="11" style="103"/>
    <col min="11522" max="11522" width="51" style="103" customWidth="1"/>
    <col min="11523" max="11523" width="19" style="103" customWidth="1"/>
    <col min="11524" max="11524" width="15.375" style="103" customWidth="1"/>
    <col min="11525" max="11525" width="14.5" style="103" customWidth="1"/>
    <col min="11526" max="11526" width="19.75" style="103" customWidth="1"/>
    <col min="11527" max="11527" width="20.5" style="103" customWidth="1"/>
    <col min="11528" max="11528" width="15.25" style="103" customWidth="1"/>
    <col min="11529" max="11529" width="15.625" style="103" customWidth="1"/>
    <col min="11530" max="11530" width="15.625" style="103" bestFit="1" customWidth="1"/>
    <col min="11531" max="11531" width="14.875" style="103" customWidth="1"/>
    <col min="11532" max="11532" width="15.625" style="103" bestFit="1" customWidth="1"/>
    <col min="11533" max="11533" width="15" style="103" customWidth="1"/>
    <col min="11534" max="11534" width="15.625" style="103" bestFit="1" customWidth="1"/>
    <col min="11535" max="11535" width="15.875" style="103" customWidth="1"/>
    <col min="11536" max="11536" width="16.25" style="103" customWidth="1"/>
    <col min="11537" max="11537" width="16.75" style="103" customWidth="1"/>
    <col min="11538" max="11538" width="14.875" style="103" customWidth="1"/>
    <col min="11539" max="11539" width="19.625" style="103" bestFit="1" customWidth="1"/>
    <col min="11540" max="11540" width="21.875" style="103" customWidth="1"/>
    <col min="11541" max="11777" width="11" style="103"/>
    <col min="11778" max="11778" width="51" style="103" customWidth="1"/>
    <col min="11779" max="11779" width="19" style="103" customWidth="1"/>
    <col min="11780" max="11780" width="15.375" style="103" customWidth="1"/>
    <col min="11781" max="11781" width="14.5" style="103" customWidth="1"/>
    <col min="11782" max="11782" width="19.75" style="103" customWidth="1"/>
    <col min="11783" max="11783" width="20.5" style="103" customWidth="1"/>
    <col min="11784" max="11784" width="15.25" style="103" customWidth="1"/>
    <col min="11785" max="11785" width="15.625" style="103" customWidth="1"/>
    <col min="11786" max="11786" width="15.625" style="103" bestFit="1" customWidth="1"/>
    <col min="11787" max="11787" width="14.875" style="103" customWidth="1"/>
    <col min="11788" max="11788" width="15.625" style="103" bestFit="1" customWidth="1"/>
    <col min="11789" max="11789" width="15" style="103" customWidth="1"/>
    <col min="11790" max="11790" width="15.625" style="103" bestFit="1" customWidth="1"/>
    <col min="11791" max="11791" width="15.875" style="103" customWidth="1"/>
    <col min="11792" max="11792" width="16.25" style="103" customWidth="1"/>
    <col min="11793" max="11793" width="16.75" style="103" customWidth="1"/>
    <col min="11794" max="11794" width="14.875" style="103" customWidth="1"/>
    <col min="11795" max="11795" width="19.625" style="103" bestFit="1" customWidth="1"/>
    <col min="11796" max="11796" width="21.875" style="103" customWidth="1"/>
    <col min="11797" max="12033" width="11" style="103"/>
    <col min="12034" max="12034" width="51" style="103" customWidth="1"/>
    <col min="12035" max="12035" width="19" style="103" customWidth="1"/>
    <col min="12036" max="12036" width="15.375" style="103" customWidth="1"/>
    <col min="12037" max="12037" width="14.5" style="103" customWidth="1"/>
    <col min="12038" max="12038" width="19.75" style="103" customWidth="1"/>
    <col min="12039" max="12039" width="20.5" style="103" customWidth="1"/>
    <col min="12040" max="12040" width="15.25" style="103" customWidth="1"/>
    <col min="12041" max="12041" width="15.625" style="103" customWidth="1"/>
    <col min="12042" max="12042" width="15.625" style="103" bestFit="1" customWidth="1"/>
    <col min="12043" max="12043" width="14.875" style="103" customWidth="1"/>
    <col min="12044" max="12044" width="15.625" style="103" bestFit="1" customWidth="1"/>
    <col min="12045" max="12045" width="15" style="103" customWidth="1"/>
    <col min="12046" max="12046" width="15.625" style="103" bestFit="1" customWidth="1"/>
    <col min="12047" max="12047" width="15.875" style="103" customWidth="1"/>
    <col min="12048" max="12048" width="16.25" style="103" customWidth="1"/>
    <col min="12049" max="12049" width="16.75" style="103" customWidth="1"/>
    <col min="12050" max="12050" width="14.875" style="103" customWidth="1"/>
    <col min="12051" max="12051" width="19.625" style="103" bestFit="1" customWidth="1"/>
    <col min="12052" max="12052" width="21.875" style="103" customWidth="1"/>
    <col min="12053" max="12289" width="11" style="103"/>
    <col min="12290" max="12290" width="51" style="103" customWidth="1"/>
    <col min="12291" max="12291" width="19" style="103" customWidth="1"/>
    <col min="12292" max="12292" width="15.375" style="103" customWidth="1"/>
    <col min="12293" max="12293" width="14.5" style="103" customWidth="1"/>
    <col min="12294" max="12294" width="19.75" style="103" customWidth="1"/>
    <col min="12295" max="12295" width="20.5" style="103" customWidth="1"/>
    <col min="12296" max="12296" width="15.25" style="103" customWidth="1"/>
    <col min="12297" max="12297" width="15.625" style="103" customWidth="1"/>
    <col min="12298" max="12298" width="15.625" style="103" bestFit="1" customWidth="1"/>
    <col min="12299" max="12299" width="14.875" style="103" customWidth="1"/>
    <col min="12300" max="12300" width="15.625" style="103" bestFit="1" customWidth="1"/>
    <col min="12301" max="12301" width="15" style="103" customWidth="1"/>
    <col min="12302" max="12302" width="15.625" style="103" bestFit="1" customWidth="1"/>
    <col min="12303" max="12303" width="15.875" style="103" customWidth="1"/>
    <col min="12304" max="12304" width="16.25" style="103" customWidth="1"/>
    <col min="12305" max="12305" width="16.75" style="103" customWidth="1"/>
    <col min="12306" max="12306" width="14.875" style="103" customWidth="1"/>
    <col min="12307" max="12307" width="19.625" style="103" bestFit="1" customWidth="1"/>
    <col min="12308" max="12308" width="21.875" style="103" customWidth="1"/>
    <col min="12309" max="12545" width="11" style="103"/>
    <col min="12546" max="12546" width="51" style="103" customWidth="1"/>
    <col min="12547" max="12547" width="19" style="103" customWidth="1"/>
    <col min="12548" max="12548" width="15.375" style="103" customWidth="1"/>
    <col min="12549" max="12549" width="14.5" style="103" customWidth="1"/>
    <col min="12550" max="12550" width="19.75" style="103" customWidth="1"/>
    <col min="12551" max="12551" width="20.5" style="103" customWidth="1"/>
    <col min="12552" max="12552" width="15.25" style="103" customWidth="1"/>
    <col min="12553" max="12553" width="15.625" style="103" customWidth="1"/>
    <col min="12554" max="12554" width="15.625" style="103" bestFit="1" customWidth="1"/>
    <col min="12555" max="12555" width="14.875" style="103" customWidth="1"/>
    <col min="12556" max="12556" width="15.625" style="103" bestFit="1" customWidth="1"/>
    <col min="12557" max="12557" width="15" style="103" customWidth="1"/>
    <col min="12558" max="12558" width="15.625" style="103" bestFit="1" customWidth="1"/>
    <col min="12559" max="12559" width="15.875" style="103" customWidth="1"/>
    <col min="12560" max="12560" width="16.25" style="103" customWidth="1"/>
    <col min="12561" max="12561" width="16.75" style="103" customWidth="1"/>
    <col min="12562" max="12562" width="14.875" style="103" customWidth="1"/>
    <col min="12563" max="12563" width="19.625" style="103" bestFit="1" customWidth="1"/>
    <col min="12564" max="12564" width="21.875" style="103" customWidth="1"/>
    <col min="12565" max="12801" width="11" style="103"/>
    <col min="12802" max="12802" width="51" style="103" customWidth="1"/>
    <col min="12803" max="12803" width="19" style="103" customWidth="1"/>
    <col min="12804" max="12804" width="15.375" style="103" customWidth="1"/>
    <col min="12805" max="12805" width="14.5" style="103" customWidth="1"/>
    <col min="12806" max="12806" width="19.75" style="103" customWidth="1"/>
    <col min="12807" max="12807" width="20.5" style="103" customWidth="1"/>
    <col min="12808" max="12808" width="15.25" style="103" customWidth="1"/>
    <col min="12809" max="12809" width="15.625" style="103" customWidth="1"/>
    <col min="12810" max="12810" width="15.625" style="103" bestFit="1" customWidth="1"/>
    <col min="12811" max="12811" width="14.875" style="103" customWidth="1"/>
    <col min="12812" max="12812" width="15.625" style="103" bestFit="1" customWidth="1"/>
    <col min="12813" max="12813" width="15" style="103" customWidth="1"/>
    <col min="12814" max="12814" width="15.625" style="103" bestFit="1" customWidth="1"/>
    <col min="12815" max="12815" width="15.875" style="103" customWidth="1"/>
    <col min="12816" max="12816" width="16.25" style="103" customWidth="1"/>
    <col min="12817" max="12817" width="16.75" style="103" customWidth="1"/>
    <col min="12818" max="12818" width="14.875" style="103" customWidth="1"/>
    <col min="12819" max="12819" width="19.625" style="103" bestFit="1" customWidth="1"/>
    <col min="12820" max="12820" width="21.875" style="103" customWidth="1"/>
    <col min="12821" max="13057" width="11" style="103"/>
    <col min="13058" max="13058" width="51" style="103" customWidth="1"/>
    <col min="13059" max="13059" width="19" style="103" customWidth="1"/>
    <col min="13060" max="13060" width="15.375" style="103" customWidth="1"/>
    <col min="13061" max="13061" width="14.5" style="103" customWidth="1"/>
    <col min="13062" max="13062" width="19.75" style="103" customWidth="1"/>
    <col min="13063" max="13063" width="20.5" style="103" customWidth="1"/>
    <col min="13064" max="13064" width="15.25" style="103" customWidth="1"/>
    <col min="13065" max="13065" width="15.625" style="103" customWidth="1"/>
    <col min="13066" max="13066" width="15.625" style="103" bestFit="1" customWidth="1"/>
    <col min="13067" max="13067" width="14.875" style="103" customWidth="1"/>
    <col min="13068" max="13068" width="15.625" style="103" bestFit="1" customWidth="1"/>
    <col min="13069" max="13069" width="15" style="103" customWidth="1"/>
    <col min="13070" max="13070" width="15.625" style="103" bestFit="1" customWidth="1"/>
    <col min="13071" max="13071" width="15.875" style="103" customWidth="1"/>
    <col min="13072" max="13072" width="16.25" style="103" customWidth="1"/>
    <col min="13073" max="13073" width="16.75" style="103" customWidth="1"/>
    <col min="13074" max="13074" width="14.875" style="103" customWidth="1"/>
    <col min="13075" max="13075" width="19.625" style="103" bestFit="1" customWidth="1"/>
    <col min="13076" max="13076" width="21.875" style="103" customWidth="1"/>
    <col min="13077" max="13313" width="11" style="103"/>
    <col min="13314" max="13314" width="51" style="103" customWidth="1"/>
    <col min="13315" max="13315" width="19" style="103" customWidth="1"/>
    <col min="13316" max="13316" width="15.375" style="103" customWidth="1"/>
    <col min="13317" max="13317" width="14.5" style="103" customWidth="1"/>
    <col min="13318" max="13318" width="19.75" style="103" customWidth="1"/>
    <col min="13319" max="13319" width="20.5" style="103" customWidth="1"/>
    <col min="13320" max="13320" width="15.25" style="103" customWidth="1"/>
    <col min="13321" max="13321" width="15.625" style="103" customWidth="1"/>
    <col min="13322" max="13322" width="15.625" style="103" bestFit="1" customWidth="1"/>
    <col min="13323" max="13323" width="14.875" style="103" customWidth="1"/>
    <col min="13324" max="13324" width="15.625" style="103" bestFit="1" customWidth="1"/>
    <col min="13325" max="13325" width="15" style="103" customWidth="1"/>
    <col min="13326" max="13326" width="15.625" style="103" bestFit="1" customWidth="1"/>
    <col min="13327" max="13327" width="15.875" style="103" customWidth="1"/>
    <col min="13328" max="13328" width="16.25" style="103" customWidth="1"/>
    <col min="13329" max="13329" width="16.75" style="103" customWidth="1"/>
    <col min="13330" max="13330" width="14.875" style="103" customWidth="1"/>
    <col min="13331" max="13331" width="19.625" style="103" bestFit="1" customWidth="1"/>
    <col min="13332" max="13332" width="21.875" style="103" customWidth="1"/>
    <col min="13333" max="13569" width="11" style="103"/>
    <col min="13570" max="13570" width="51" style="103" customWidth="1"/>
    <col min="13571" max="13571" width="19" style="103" customWidth="1"/>
    <col min="13572" max="13572" width="15.375" style="103" customWidth="1"/>
    <col min="13573" max="13573" width="14.5" style="103" customWidth="1"/>
    <col min="13574" max="13574" width="19.75" style="103" customWidth="1"/>
    <col min="13575" max="13575" width="20.5" style="103" customWidth="1"/>
    <col min="13576" max="13576" width="15.25" style="103" customWidth="1"/>
    <col min="13577" max="13577" width="15.625" style="103" customWidth="1"/>
    <col min="13578" max="13578" width="15.625" style="103" bestFit="1" customWidth="1"/>
    <col min="13579" max="13579" width="14.875" style="103" customWidth="1"/>
    <col min="13580" max="13580" width="15.625" style="103" bestFit="1" customWidth="1"/>
    <col min="13581" max="13581" width="15" style="103" customWidth="1"/>
    <col min="13582" max="13582" width="15.625" style="103" bestFit="1" customWidth="1"/>
    <col min="13583" max="13583" width="15.875" style="103" customWidth="1"/>
    <col min="13584" max="13584" width="16.25" style="103" customWidth="1"/>
    <col min="13585" max="13585" width="16.75" style="103" customWidth="1"/>
    <col min="13586" max="13586" width="14.875" style="103" customWidth="1"/>
    <col min="13587" max="13587" width="19.625" style="103" bestFit="1" customWidth="1"/>
    <col min="13588" max="13588" width="21.875" style="103" customWidth="1"/>
    <col min="13589" max="13825" width="11" style="103"/>
    <col min="13826" max="13826" width="51" style="103" customWidth="1"/>
    <col min="13827" max="13827" width="19" style="103" customWidth="1"/>
    <col min="13828" max="13828" width="15.375" style="103" customWidth="1"/>
    <col min="13829" max="13829" width="14.5" style="103" customWidth="1"/>
    <col min="13830" max="13830" width="19.75" style="103" customWidth="1"/>
    <col min="13831" max="13831" width="20.5" style="103" customWidth="1"/>
    <col min="13832" max="13832" width="15.25" style="103" customWidth="1"/>
    <col min="13833" max="13833" width="15.625" style="103" customWidth="1"/>
    <col min="13834" max="13834" width="15.625" style="103" bestFit="1" customWidth="1"/>
    <col min="13835" max="13835" width="14.875" style="103" customWidth="1"/>
    <col min="13836" max="13836" width="15.625" style="103" bestFit="1" customWidth="1"/>
    <col min="13837" max="13837" width="15" style="103" customWidth="1"/>
    <col min="13838" max="13838" width="15.625" style="103" bestFit="1" customWidth="1"/>
    <col min="13839" max="13839" width="15.875" style="103" customWidth="1"/>
    <col min="13840" max="13840" width="16.25" style="103" customWidth="1"/>
    <col min="13841" max="13841" width="16.75" style="103" customWidth="1"/>
    <col min="13842" max="13842" width="14.875" style="103" customWidth="1"/>
    <col min="13843" max="13843" width="19.625" style="103" bestFit="1" customWidth="1"/>
    <col min="13844" max="13844" width="21.875" style="103" customWidth="1"/>
    <col min="13845" max="14081" width="11" style="103"/>
    <col min="14082" max="14082" width="51" style="103" customWidth="1"/>
    <col min="14083" max="14083" width="19" style="103" customWidth="1"/>
    <col min="14084" max="14084" width="15.375" style="103" customWidth="1"/>
    <col min="14085" max="14085" width="14.5" style="103" customWidth="1"/>
    <col min="14086" max="14086" width="19.75" style="103" customWidth="1"/>
    <col min="14087" max="14087" width="20.5" style="103" customWidth="1"/>
    <col min="14088" max="14088" width="15.25" style="103" customWidth="1"/>
    <col min="14089" max="14089" width="15.625" style="103" customWidth="1"/>
    <col min="14090" max="14090" width="15.625" style="103" bestFit="1" customWidth="1"/>
    <col min="14091" max="14091" width="14.875" style="103" customWidth="1"/>
    <col min="14092" max="14092" width="15.625" style="103" bestFit="1" customWidth="1"/>
    <col min="14093" max="14093" width="15" style="103" customWidth="1"/>
    <col min="14094" max="14094" width="15.625" style="103" bestFit="1" customWidth="1"/>
    <col min="14095" max="14095" width="15.875" style="103" customWidth="1"/>
    <col min="14096" max="14096" width="16.25" style="103" customWidth="1"/>
    <col min="14097" max="14097" width="16.75" style="103" customWidth="1"/>
    <col min="14098" max="14098" width="14.875" style="103" customWidth="1"/>
    <col min="14099" max="14099" width="19.625" style="103" bestFit="1" customWidth="1"/>
    <col min="14100" max="14100" width="21.875" style="103" customWidth="1"/>
    <col min="14101" max="14337" width="11" style="103"/>
    <col min="14338" max="14338" width="51" style="103" customWidth="1"/>
    <col min="14339" max="14339" width="19" style="103" customWidth="1"/>
    <col min="14340" max="14340" width="15.375" style="103" customWidth="1"/>
    <col min="14341" max="14341" width="14.5" style="103" customWidth="1"/>
    <col min="14342" max="14342" width="19.75" style="103" customWidth="1"/>
    <col min="14343" max="14343" width="20.5" style="103" customWidth="1"/>
    <col min="14344" max="14344" width="15.25" style="103" customWidth="1"/>
    <col min="14345" max="14345" width="15.625" style="103" customWidth="1"/>
    <col min="14346" max="14346" width="15.625" style="103" bestFit="1" customWidth="1"/>
    <col min="14347" max="14347" width="14.875" style="103" customWidth="1"/>
    <col min="14348" max="14348" width="15.625" style="103" bestFit="1" customWidth="1"/>
    <col min="14349" max="14349" width="15" style="103" customWidth="1"/>
    <col min="14350" max="14350" width="15.625" style="103" bestFit="1" customWidth="1"/>
    <col min="14351" max="14351" width="15.875" style="103" customWidth="1"/>
    <col min="14352" max="14352" width="16.25" style="103" customWidth="1"/>
    <col min="14353" max="14353" width="16.75" style="103" customWidth="1"/>
    <col min="14354" max="14354" width="14.875" style="103" customWidth="1"/>
    <col min="14355" max="14355" width="19.625" style="103" bestFit="1" customWidth="1"/>
    <col min="14356" max="14356" width="21.875" style="103" customWidth="1"/>
    <col min="14357" max="14593" width="11" style="103"/>
    <col min="14594" max="14594" width="51" style="103" customWidth="1"/>
    <col min="14595" max="14595" width="19" style="103" customWidth="1"/>
    <col min="14596" max="14596" width="15.375" style="103" customWidth="1"/>
    <col min="14597" max="14597" width="14.5" style="103" customWidth="1"/>
    <col min="14598" max="14598" width="19.75" style="103" customWidth="1"/>
    <col min="14599" max="14599" width="20.5" style="103" customWidth="1"/>
    <col min="14600" max="14600" width="15.25" style="103" customWidth="1"/>
    <col min="14601" max="14601" width="15.625" style="103" customWidth="1"/>
    <col min="14602" max="14602" width="15.625" style="103" bestFit="1" customWidth="1"/>
    <col min="14603" max="14603" width="14.875" style="103" customWidth="1"/>
    <col min="14604" max="14604" width="15.625" style="103" bestFit="1" customWidth="1"/>
    <col min="14605" max="14605" width="15" style="103" customWidth="1"/>
    <col min="14606" max="14606" width="15.625" style="103" bestFit="1" customWidth="1"/>
    <col min="14607" max="14607" width="15.875" style="103" customWidth="1"/>
    <col min="14608" max="14608" width="16.25" style="103" customWidth="1"/>
    <col min="14609" max="14609" width="16.75" style="103" customWidth="1"/>
    <col min="14610" max="14610" width="14.875" style="103" customWidth="1"/>
    <col min="14611" max="14611" width="19.625" style="103" bestFit="1" customWidth="1"/>
    <col min="14612" max="14612" width="21.875" style="103" customWidth="1"/>
    <col min="14613" max="14849" width="11" style="103"/>
    <col min="14850" max="14850" width="51" style="103" customWidth="1"/>
    <col min="14851" max="14851" width="19" style="103" customWidth="1"/>
    <col min="14852" max="14852" width="15.375" style="103" customWidth="1"/>
    <col min="14853" max="14853" width="14.5" style="103" customWidth="1"/>
    <col min="14854" max="14854" width="19.75" style="103" customWidth="1"/>
    <col min="14855" max="14855" width="20.5" style="103" customWidth="1"/>
    <col min="14856" max="14856" width="15.25" style="103" customWidth="1"/>
    <col min="14857" max="14857" width="15.625" style="103" customWidth="1"/>
    <col min="14858" max="14858" width="15.625" style="103" bestFit="1" customWidth="1"/>
    <col min="14859" max="14859" width="14.875" style="103" customWidth="1"/>
    <col min="14860" max="14860" width="15.625" style="103" bestFit="1" customWidth="1"/>
    <col min="14861" max="14861" width="15" style="103" customWidth="1"/>
    <col min="14862" max="14862" width="15.625" style="103" bestFit="1" customWidth="1"/>
    <col min="14863" max="14863" width="15.875" style="103" customWidth="1"/>
    <col min="14864" max="14864" width="16.25" style="103" customWidth="1"/>
    <col min="14865" max="14865" width="16.75" style="103" customWidth="1"/>
    <col min="14866" max="14866" width="14.875" style="103" customWidth="1"/>
    <col min="14867" max="14867" width="19.625" style="103" bestFit="1" customWidth="1"/>
    <col min="14868" max="14868" width="21.875" style="103" customWidth="1"/>
    <col min="14869" max="15105" width="11" style="103"/>
    <col min="15106" max="15106" width="51" style="103" customWidth="1"/>
    <col min="15107" max="15107" width="19" style="103" customWidth="1"/>
    <col min="15108" max="15108" width="15.375" style="103" customWidth="1"/>
    <col min="15109" max="15109" width="14.5" style="103" customWidth="1"/>
    <col min="15110" max="15110" width="19.75" style="103" customWidth="1"/>
    <col min="15111" max="15111" width="20.5" style="103" customWidth="1"/>
    <col min="15112" max="15112" width="15.25" style="103" customWidth="1"/>
    <col min="15113" max="15113" width="15.625" style="103" customWidth="1"/>
    <col min="15114" max="15114" width="15.625" style="103" bestFit="1" customWidth="1"/>
    <col min="15115" max="15115" width="14.875" style="103" customWidth="1"/>
    <col min="15116" max="15116" width="15.625" style="103" bestFit="1" customWidth="1"/>
    <col min="15117" max="15117" width="15" style="103" customWidth="1"/>
    <col min="15118" max="15118" width="15.625" style="103" bestFit="1" customWidth="1"/>
    <col min="15119" max="15119" width="15.875" style="103" customWidth="1"/>
    <col min="15120" max="15120" width="16.25" style="103" customWidth="1"/>
    <col min="15121" max="15121" width="16.75" style="103" customWidth="1"/>
    <col min="15122" max="15122" width="14.875" style="103" customWidth="1"/>
    <col min="15123" max="15123" width="19.625" style="103" bestFit="1" customWidth="1"/>
    <col min="15124" max="15124" width="21.875" style="103" customWidth="1"/>
    <col min="15125" max="15361" width="11" style="103"/>
    <col min="15362" max="15362" width="51" style="103" customWidth="1"/>
    <col min="15363" max="15363" width="19" style="103" customWidth="1"/>
    <col min="15364" max="15364" width="15.375" style="103" customWidth="1"/>
    <col min="15365" max="15365" width="14.5" style="103" customWidth="1"/>
    <col min="15366" max="15366" width="19.75" style="103" customWidth="1"/>
    <col min="15367" max="15367" width="20.5" style="103" customWidth="1"/>
    <col min="15368" max="15368" width="15.25" style="103" customWidth="1"/>
    <col min="15369" max="15369" width="15.625" style="103" customWidth="1"/>
    <col min="15370" max="15370" width="15.625" style="103" bestFit="1" customWidth="1"/>
    <col min="15371" max="15371" width="14.875" style="103" customWidth="1"/>
    <col min="15372" max="15372" width="15.625" style="103" bestFit="1" customWidth="1"/>
    <col min="15373" max="15373" width="15" style="103" customWidth="1"/>
    <col min="15374" max="15374" width="15.625" style="103" bestFit="1" customWidth="1"/>
    <col min="15375" max="15375" width="15.875" style="103" customWidth="1"/>
    <col min="15376" max="15376" width="16.25" style="103" customWidth="1"/>
    <col min="15377" max="15377" width="16.75" style="103" customWidth="1"/>
    <col min="15378" max="15378" width="14.875" style="103" customWidth="1"/>
    <col min="15379" max="15379" width="19.625" style="103" bestFit="1" customWidth="1"/>
    <col min="15380" max="15380" width="21.875" style="103" customWidth="1"/>
    <col min="15381" max="15617" width="11" style="103"/>
    <col min="15618" max="15618" width="51" style="103" customWidth="1"/>
    <col min="15619" max="15619" width="19" style="103" customWidth="1"/>
    <col min="15620" max="15620" width="15.375" style="103" customWidth="1"/>
    <col min="15621" max="15621" width="14.5" style="103" customWidth="1"/>
    <col min="15622" max="15622" width="19.75" style="103" customWidth="1"/>
    <col min="15623" max="15623" width="20.5" style="103" customWidth="1"/>
    <col min="15624" max="15624" width="15.25" style="103" customWidth="1"/>
    <col min="15625" max="15625" width="15.625" style="103" customWidth="1"/>
    <col min="15626" max="15626" width="15.625" style="103" bestFit="1" customWidth="1"/>
    <col min="15627" max="15627" width="14.875" style="103" customWidth="1"/>
    <col min="15628" max="15628" width="15.625" style="103" bestFit="1" customWidth="1"/>
    <col min="15629" max="15629" width="15" style="103" customWidth="1"/>
    <col min="15630" max="15630" width="15.625" style="103" bestFit="1" customWidth="1"/>
    <col min="15631" max="15631" width="15.875" style="103" customWidth="1"/>
    <col min="15632" max="15632" width="16.25" style="103" customWidth="1"/>
    <col min="15633" max="15633" width="16.75" style="103" customWidth="1"/>
    <col min="15634" max="15634" width="14.875" style="103" customWidth="1"/>
    <col min="15635" max="15635" width="19.625" style="103" bestFit="1" customWidth="1"/>
    <col min="15636" max="15636" width="21.875" style="103" customWidth="1"/>
    <col min="15637" max="15873" width="11" style="103"/>
    <col min="15874" max="15874" width="51" style="103" customWidth="1"/>
    <col min="15875" max="15875" width="19" style="103" customWidth="1"/>
    <col min="15876" max="15876" width="15.375" style="103" customWidth="1"/>
    <col min="15877" max="15877" width="14.5" style="103" customWidth="1"/>
    <col min="15878" max="15878" width="19.75" style="103" customWidth="1"/>
    <col min="15879" max="15879" width="20.5" style="103" customWidth="1"/>
    <col min="15880" max="15880" width="15.25" style="103" customWidth="1"/>
    <col min="15881" max="15881" width="15.625" style="103" customWidth="1"/>
    <col min="15882" max="15882" width="15.625" style="103" bestFit="1" customWidth="1"/>
    <col min="15883" max="15883" width="14.875" style="103" customWidth="1"/>
    <col min="15884" max="15884" width="15.625" style="103" bestFit="1" customWidth="1"/>
    <col min="15885" max="15885" width="15" style="103" customWidth="1"/>
    <col min="15886" max="15886" width="15.625" style="103" bestFit="1" customWidth="1"/>
    <col min="15887" max="15887" width="15.875" style="103" customWidth="1"/>
    <col min="15888" max="15888" width="16.25" style="103" customWidth="1"/>
    <col min="15889" max="15889" width="16.75" style="103" customWidth="1"/>
    <col min="15890" max="15890" width="14.875" style="103" customWidth="1"/>
    <col min="15891" max="15891" width="19.625" style="103" bestFit="1" customWidth="1"/>
    <col min="15892" max="15892" width="21.875" style="103" customWidth="1"/>
    <col min="15893" max="16129" width="11" style="103"/>
    <col min="16130" max="16130" width="51" style="103" customWidth="1"/>
    <col min="16131" max="16131" width="19" style="103" customWidth="1"/>
    <col min="16132" max="16132" width="15.375" style="103" customWidth="1"/>
    <col min="16133" max="16133" width="14.5" style="103" customWidth="1"/>
    <col min="16134" max="16134" width="19.75" style="103" customWidth="1"/>
    <col min="16135" max="16135" width="20.5" style="103" customWidth="1"/>
    <col min="16136" max="16136" width="15.25" style="103" customWidth="1"/>
    <col min="16137" max="16137" width="15.625" style="103" customWidth="1"/>
    <col min="16138" max="16138" width="15.625" style="103" bestFit="1" customWidth="1"/>
    <col min="16139" max="16139" width="14.875" style="103" customWidth="1"/>
    <col min="16140" max="16140" width="15.625" style="103" bestFit="1" customWidth="1"/>
    <col min="16141" max="16141" width="15" style="103" customWidth="1"/>
    <col min="16142" max="16142" width="15.625" style="103" bestFit="1" customWidth="1"/>
    <col min="16143" max="16143" width="15.875" style="103" customWidth="1"/>
    <col min="16144" max="16144" width="16.25" style="103" customWidth="1"/>
    <col min="16145" max="16145" width="16.75" style="103" customWidth="1"/>
    <col min="16146" max="16146" width="14.875" style="103" customWidth="1"/>
    <col min="16147" max="16147" width="19.625" style="103" bestFit="1" customWidth="1"/>
    <col min="16148" max="16148" width="21.875" style="103" customWidth="1"/>
    <col min="16149" max="16384" width="11" style="103"/>
  </cols>
  <sheetData>
    <row r="1" spans="1:22" x14ac:dyDescent="0.2"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5"/>
    </row>
    <row r="2" spans="1:22" x14ac:dyDescent="0.2">
      <c r="B2" s="359" t="s">
        <v>0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1"/>
      <c r="U2" s="102"/>
    </row>
    <row r="3" spans="1:22" x14ac:dyDescent="0.2">
      <c r="B3" s="359" t="s">
        <v>161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1"/>
      <c r="U3" s="102"/>
    </row>
    <row r="4" spans="1:22" ht="13.5" thickBot="1" x14ac:dyDescent="0.25">
      <c r="B4" s="362" t="s">
        <v>119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4"/>
      <c r="U4" s="102"/>
    </row>
    <row r="5" spans="1:22" x14ac:dyDescent="0.2">
      <c r="A5" s="202"/>
      <c r="B5" s="170" t="s">
        <v>120</v>
      </c>
      <c r="C5" s="170" t="s">
        <v>121</v>
      </c>
      <c r="D5" s="171"/>
      <c r="E5" s="172" t="s">
        <v>122</v>
      </c>
      <c r="F5" s="171" t="s">
        <v>123</v>
      </c>
      <c r="G5" s="172" t="s">
        <v>124</v>
      </c>
      <c r="H5" s="171" t="s">
        <v>125</v>
      </c>
      <c r="I5" s="172" t="s">
        <v>126</v>
      </c>
      <c r="J5" s="171" t="s">
        <v>127</v>
      </c>
      <c r="K5" s="172" t="s">
        <v>128</v>
      </c>
      <c r="L5" s="171" t="s">
        <v>129</v>
      </c>
      <c r="M5" s="172" t="s">
        <v>130</v>
      </c>
      <c r="N5" s="171" t="s">
        <v>131</v>
      </c>
      <c r="O5" s="172" t="s">
        <v>132</v>
      </c>
      <c r="P5" s="171" t="s">
        <v>133</v>
      </c>
      <c r="Q5" s="172" t="s">
        <v>134</v>
      </c>
      <c r="R5" s="171" t="s">
        <v>135</v>
      </c>
      <c r="S5" s="172" t="s">
        <v>136</v>
      </c>
      <c r="T5" s="171" t="s">
        <v>137</v>
      </c>
    </row>
    <row r="6" spans="1:22" ht="13.5" thickBot="1" x14ac:dyDescent="0.25">
      <c r="A6" s="202"/>
      <c r="B6" s="173"/>
      <c r="C6" s="174" t="s">
        <v>15</v>
      </c>
      <c r="D6" s="175"/>
      <c r="E6" s="176"/>
      <c r="F6" s="175" t="s">
        <v>138</v>
      </c>
      <c r="G6" s="177" t="s">
        <v>139</v>
      </c>
      <c r="H6" s="178"/>
      <c r="I6" s="179"/>
      <c r="J6" s="178"/>
      <c r="K6" s="179"/>
      <c r="L6" s="178"/>
      <c r="M6" s="179"/>
      <c r="N6" s="178"/>
      <c r="O6" s="179"/>
      <c r="P6" s="178"/>
      <c r="Q6" s="179"/>
      <c r="R6" s="178"/>
      <c r="S6" s="179"/>
      <c r="T6" s="178"/>
    </row>
    <row r="7" spans="1:22" x14ac:dyDescent="0.2">
      <c r="B7" s="106"/>
      <c r="C7" s="107"/>
      <c r="D7" s="108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9"/>
    </row>
    <row r="8" spans="1:22" x14ac:dyDescent="0.2">
      <c r="B8" s="189" t="s">
        <v>140</v>
      </c>
      <c r="C8" s="113">
        <v>973593066</v>
      </c>
      <c r="D8" s="110"/>
      <c r="E8" s="111"/>
      <c r="F8" s="111"/>
      <c r="G8" s="114">
        <f>E8-F8+C8</f>
        <v>973593066</v>
      </c>
      <c r="H8" s="111">
        <f>$G$8/12</f>
        <v>81132755.5</v>
      </c>
      <c r="I8" s="111">
        <f t="shared" ref="I8:S8" si="0">$G$8/12</f>
        <v>81132755.5</v>
      </c>
      <c r="J8" s="111">
        <f t="shared" si="0"/>
        <v>81132755.5</v>
      </c>
      <c r="K8" s="111">
        <f t="shared" si="0"/>
        <v>81132755.5</v>
      </c>
      <c r="L8" s="111">
        <f t="shared" si="0"/>
        <v>81132755.5</v>
      </c>
      <c r="M8" s="111">
        <f t="shared" si="0"/>
        <v>81132755.5</v>
      </c>
      <c r="N8" s="111">
        <f t="shared" si="0"/>
        <v>81132755.5</v>
      </c>
      <c r="O8" s="111">
        <f t="shared" si="0"/>
        <v>81132755.5</v>
      </c>
      <c r="P8" s="111">
        <f t="shared" si="0"/>
        <v>81132755.5</v>
      </c>
      <c r="Q8" s="111">
        <f t="shared" si="0"/>
        <v>81132755.5</v>
      </c>
      <c r="R8" s="111">
        <f t="shared" si="0"/>
        <v>81132755.5</v>
      </c>
      <c r="S8" s="111">
        <f t="shared" si="0"/>
        <v>81132755.5</v>
      </c>
      <c r="T8" s="115">
        <f>H8+I8+J8+K8+L8+M8+N8+O8+P8+Q8+R8+S8</f>
        <v>973593066</v>
      </c>
      <c r="U8" s="116"/>
    </row>
    <row r="9" spans="1:22" x14ac:dyDescent="0.2">
      <c r="B9" s="189" t="s">
        <v>141</v>
      </c>
      <c r="C9" s="117">
        <v>0</v>
      </c>
      <c r="D9" s="110"/>
      <c r="E9" s="97"/>
      <c r="F9" s="111">
        <v>0</v>
      </c>
      <c r="G9" s="111">
        <f>E9-F9</f>
        <v>0</v>
      </c>
      <c r="H9" s="111">
        <f t="shared" ref="H9:S9" si="1">F9-G9</f>
        <v>0</v>
      </c>
      <c r="I9" s="111">
        <f t="shared" si="1"/>
        <v>0</v>
      </c>
      <c r="J9" s="111">
        <f t="shared" si="1"/>
        <v>0</v>
      </c>
      <c r="K9" s="111">
        <f t="shared" si="1"/>
        <v>0</v>
      </c>
      <c r="L9" s="111">
        <f t="shared" si="1"/>
        <v>0</v>
      </c>
      <c r="M9" s="111">
        <f t="shared" si="1"/>
        <v>0</v>
      </c>
      <c r="N9" s="111">
        <f t="shared" si="1"/>
        <v>0</v>
      </c>
      <c r="O9" s="111">
        <f t="shared" si="1"/>
        <v>0</v>
      </c>
      <c r="P9" s="111">
        <f t="shared" si="1"/>
        <v>0</v>
      </c>
      <c r="Q9" s="111">
        <f t="shared" si="1"/>
        <v>0</v>
      </c>
      <c r="R9" s="111">
        <f t="shared" si="1"/>
        <v>0</v>
      </c>
      <c r="S9" s="111">
        <f t="shared" si="1"/>
        <v>0</v>
      </c>
      <c r="T9" s="112">
        <f>H9+I9+J9+K9+L9+M9+N9+O9+P9+Q9+R9+S9</f>
        <v>0</v>
      </c>
    </row>
    <row r="10" spans="1:22" x14ac:dyDescent="0.2">
      <c r="B10" s="189" t="s">
        <v>142</v>
      </c>
      <c r="C10" s="117">
        <v>0</v>
      </c>
      <c r="D10" s="110"/>
      <c r="E10" s="97"/>
      <c r="F10" s="111">
        <v>0</v>
      </c>
      <c r="G10" s="111">
        <f>E10-F10</f>
        <v>0</v>
      </c>
      <c r="H10" s="111">
        <f t="shared" ref="H10:S10" si="2">F10-G10</f>
        <v>0</v>
      </c>
      <c r="I10" s="111">
        <f t="shared" si="2"/>
        <v>0</v>
      </c>
      <c r="J10" s="111">
        <f t="shared" si="2"/>
        <v>0</v>
      </c>
      <c r="K10" s="111">
        <f t="shared" si="2"/>
        <v>0</v>
      </c>
      <c r="L10" s="111">
        <f t="shared" si="2"/>
        <v>0</v>
      </c>
      <c r="M10" s="111">
        <f t="shared" si="2"/>
        <v>0</v>
      </c>
      <c r="N10" s="111">
        <f t="shared" si="2"/>
        <v>0</v>
      </c>
      <c r="O10" s="111">
        <f t="shared" si="2"/>
        <v>0</v>
      </c>
      <c r="P10" s="111">
        <f t="shared" si="2"/>
        <v>0</v>
      </c>
      <c r="Q10" s="111">
        <f t="shared" si="2"/>
        <v>0</v>
      </c>
      <c r="R10" s="111">
        <f t="shared" si="2"/>
        <v>0</v>
      </c>
      <c r="S10" s="111">
        <f t="shared" si="2"/>
        <v>0</v>
      </c>
      <c r="T10" s="112">
        <f>H10+I10+J10+K10+L10+M10+N10+O10+P10+Q10+R10+S10</f>
        <v>0</v>
      </c>
    </row>
    <row r="11" spans="1:22" x14ac:dyDescent="0.2">
      <c r="B11" s="189" t="s">
        <v>143</v>
      </c>
      <c r="C11" s="117">
        <v>0</v>
      </c>
      <c r="D11" s="110"/>
      <c r="E11" s="97"/>
      <c r="F11" s="111">
        <v>0</v>
      </c>
      <c r="G11" s="111">
        <f>E11-F11</f>
        <v>0</v>
      </c>
      <c r="H11" s="111">
        <f t="shared" ref="H11:S11" si="3">F11-G11</f>
        <v>0</v>
      </c>
      <c r="I11" s="111">
        <f t="shared" si="3"/>
        <v>0</v>
      </c>
      <c r="J11" s="111">
        <f t="shared" si="3"/>
        <v>0</v>
      </c>
      <c r="K11" s="111">
        <f t="shared" si="3"/>
        <v>0</v>
      </c>
      <c r="L11" s="111">
        <f t="shared" si="3"/>
        <v>0</v>
      </c>
      <c r="M11" s="111">
        <f t="shared" si="3"/>
        <v>0</v>
      </c>
      <c r="N11" s="111">
        <f t="shared" si="3"/>
        <v>0</v>
      </c>
      <c r="O11" s="111">
        <f t="shared" si="3"/>
        <v>0</v>
      </c>
      <c r="P11" s="111">
        <f t="shared" si="3"/>
        <v>0</v>
      </c>
      <c r="Q11" s="111">
        <f t="shared" si="3"/>
        <v>0</v>
      </c>
      <c r="R11" s="111">
        <f t="shared" si="3"/>
        <v>0</v>
      </c>
      <c r="S11" s="111">
        <f t="shared" si="3"/>
        <v>0</v>
      </c>
      <c r="T11" s="112">
        <f>H11+I11+J11+K11+L11+M11+N11+O11+P11+Q11+R11+S11</f>
        <v>0</v>
      </c>
    </row>
    <row r="12" spans="1:22" x14ac:dyDescent="0.2">
      <c r="B12" s="189" t="s">
        <v>144</v>
      </c>
      <c r="C12" s="117">
        <v>0</v>
      </c>
      <c r="D12" s="110"/>
      <c r="E12" s="97"/>
      <c r="F12" s="111">
        <v>0</v>
      </c>
      <c r="G12" s="111">
        <f>E12-F12</f>
        <v>0</v>
      </c>
      <c r="H12" s="111">
        <f t="shared" ref="H12:S12" si="4">F12-G12</f>
        <v>0</v>
      </c>
      <c r="I12" s="111">
        <f t="shared" si="4"/>
        <v>0</v>
      </c>
      <c r="J12" s="111">
        <f t="shared" si="4"/>
        <v>0</v>
      </c>
      <c r="K12" s="111">
        <f t="shared" si="4"/>
        <v>0</v>
      </c>
      <c r="L12" s="111">
        <f t="shared" si="4"/>
        <v>0</v>
      </c>
      <c r="M12" s="111">
        <f t="shared" si="4"/>
        <v>0</v>
      </c>
      <c r="N12" s="111">
        <f t="shared" si="4"/>
        <v>0</v>
      </c>
      <c r="O12" s="111">
        <f t="shared" si="4"/>
        <v>0</v>
      </c>
      <c r="P12" s="111">
        <f t="shared" si="4"/>
        <v>0</v>
      </c>
      <c r="Q12" s="111">
        <f t="shared" si="4"/>
        <v>0</v>
      </c>
      <c r="R12" s="111">
        <f t="shared" si="4"/>
        <v>0</v>
      </c>
      <c r="S12" s="111">
        <f t="shared" si="4"/>
        <v>0</v>
      </c>
      <c r="T12" s="112">
        <f>H12+I12+J12+K12+L12+M12+N12+O12+P12+Q12+R12+S12</f>
        <v>0</v>
      </c>
    </row>
    <row r="13" spans="1:22" x14ac:dyDescent="0.2">
      <c r="A13" s="202"/>
      <c r="B13" s="180" t="s">
        <v>163</v>
      </c>
      <c r="C13" s="181">
        <f>+C8+C9+C10+C11</f>
        <v>973593066</v>
      </c>
      <c r="D13" s="182"/>
      <c r="E13" s="183"/>
      <c r="F13" s="183">
        <v>0</v>
      </c>
      <c r="G13" s="184">
        <f>G12+G11+G10+G9+G8</f>
        <v>973593066</v>
      </c>
      <c r="H13" s="183">
        <f>H8+H11+H12</f>
        <v>81132755.5</v>
      </c>
      <c r="I13" s="183">
        <f>I8+I11+I12</f>
        <v>81132755.5</v>
      </c>
      <c r="J13" s="183">
        <f>J8+J11+J12</f>
        <v>81132755.5</v>
      </c>
      <c r="K13" s="183">
        <f>K8+K11+K12</f>
        <v>81132755.5</v>
      </c>
      <c r="L13" s="183">
        <f>L8+L11+L12</f>
        <v>81132755.5</v>
      </c>
      <c r="M13" s="183">
        <f>M8+M9+M10+M11+M12</f>
        <v>81132755.5</v>
      </c>
      <c r="N13" s="183">
        <f t="shared" ref="N13:T13" si="5">N8+N9+N10+N11+N12</f>
        <v>81132755.5</v>
      </c>
      <c r="O13" s="183">
        <f t="shared" si="5"/>
        <v>81132755.5</v>
      </c>
      <c r="P13" s="183">
        <f t="shared" si="5"/>
        <v>81132755.5</v>
      </c>
      <c r="Q13" s="183">
        <f t="shared" si="5"/>
        <v>81132755.5</v>
      </c>
      <c r="R13" s="183">
        <f t="shared" si="5"/>
        <v>81132755.5</v>
      </c>
      <c r="S13" s="184">
        <f t="shared" si="5"/>
        <v>81132755.5</v>
      </c>
      <c r="T13" s="185">
        <f t="shared" si="5"/>
        <v>973593066</v>
      </c>
      <c r="V13" s="116"/>
    </row>
    <row r="14" spans="1:22" x14ac:dyDescent="0.2">
      <c r="B14" s="189" t="s">
        <v>145</v>
      </c>
      <c r="C14" s="117">
        <v>0</v>
      </c>
      <c r="D14" s="110"/>
      <c r="E14" s="111"/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2">
        <v>0</v>
      </c>
      <c r="V14" s="116"/>
    </row>
    <row r="15" spans="1:22" x14ac:dyDescent="0.2">
      <c r="B15" s="189" t="s">
        <v>146</v>
      </c>
      <c r="C15" s="117">
        <v>0</v>
      </c>
      <c r="D15" s="110"/>
      <c r="E15" s="111"/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12">
        <v>0</v>
      </c>
      <c r="V15" s="116"/>
    </row>
    <row r="16" spans="1:22" x14ac:dyDescent="0.2">
      <c r="A16" s="202"/>
      <c r="B16" s="180" t="s">
        <v>147</v>
      </c>
      <c r="C16" s="181">
        <f>+C13</f>
        <v>973593066</v>
      </c>
      <c r="D16" s="182"/>
      <c r="E16" s="186">
        <f>E8+E9+E10+E11+E12</f>
        <v>0</v>
      </c>
      <c r="F16" s="183">
        <v>0</v>
      </c>
      <c r="G16" s="187">
        <f>+G13</f>
        <v>973593066</v>
      </c>
      <c r="H16" s="186">
        <f>H8+H11+H12</f>
        <v>81132755.5</v>
      </c>
      <c r="I16" s="186">
        <f>I8+I11+I12</f>
        <v>81132755.5</v>
      </c>
      <c r="J16" s="186">
        <f t="shared" ref="J16:R16" si="6">+J13</f>
        <v>81132755.5</v>
      </c>
      <c r="K16" s="186">
        <f t="shared" si="6"/>
        <v>81132755.5</v>
      </c>
      <c r="L16" s="186">
        <f t="shared" si="6"/>
        <v>81132755.5</v>
      </c>
      <c r="M16" s="186">
        <f t="shared" si="6"/>
        <v>81132755.5</v>
      </c>
      <c r="N16" s="186">
        <f t="shared" si="6"/>
        <v>81132755.5</v>
      </c>
      <c r="O16" s="186">
        <f t="shared" si="6"/>
        <v>81132755.5</v>
      </c>
      <c r="P16" s="186">
        <f t="shared" si="6"/>
        <v>81132755.5</v>
      </c>
      <c r="Q16" s="186">
        <f t="shared" si="6"/>
        <v>81132755.5</v>
      </c>
      <c r="R16" s="186">
        <f t="shared" si="6"/>
        <v>81132755.5</v>
      </c>
      <c r="S16" s="187">
        <f>S13</f>
        <v>81132755.5</v>
      </c>
      <c r="T16" s="188">
        <f>H16+I16+J16+K16+L16+M16+N16+O16+P16+Q16+R16+S16</f>
        <v>973593066</v>
      </c>
    </row>
    <row r="17" spans="1:22" ht="13.5" thickBot="1" x14ac:dyDescent="0.25">
      <c r="B17" s="119"/>
      <c r="C17" s="120"/>
      <c r="D17" s="121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3"/>
    </row>
    <row r="18" spans="1:22" ht="8.25" customHeight="1" x14ac:dyDescent="0.2">
      <c r="B18" s="104"/>
      <c r="C18" s="124"/>
      <c r="D18" s="125"/>
      <c r="E18" s="124"/>
      <c r="F18" s="124"/>
      <c r="G18" s="124"/>
      <c r="H18" s="124"/>
      <c r="I18" s="124"/>
      <c r="J18" s="105"/>
      <c r="K18" s="105"/>
      <c r="L18" s="105"/>
      <c r="M18" s="105"/>
      <c r="N18" s="105"/>
      <c r="O18" s="105"/>
      <c r="P18" s="124"/>
      <c r="Q18" s="124"/>
      <c r="R18" s="124"/>
      <c r="S18" s="124"/>
      <c r="T18" s="126" t="s">
        <v>138</v>
      </c>
      <c r="V18" s="116"/>
    </row>
    <row r="19" spans="1:22" x14ac:dyDescent="0.2">
      <c r="B19" s="104"/>
      <c r="C19" s="124"/>
      <c r="D19" s="125"/>
      <c r="E19" s="124"/>
      <c r="F19" s="127"/>
      <c r="G19" s="124"/>
      <c r="H19" s="124"/>
      <c r="I19" s="124"/>
      <c r="J19" s="105" t="s">
        <v>162</v>
      </c>
      <c r="K19" s="105"/>
      <c r="L19" s="105"/>
      <c r="M19" s="105"/>
      <c r="N19" s="105"/>
      <c r="O19" s="102"/>
      <c r="P19" s="124"/>
      <c r="Q19" s="124"/>
      <c r="R19" s="124"/>
      <c r="S19" s="124"/>
      <c r="T19" s="126"/>
      <c r="V19" s="116"/>
    </row>
    <row r="20" spans="1:22" ht="9.75" customHeight="1" thickBot="1" x14ac:dyDescent="0.25">
      <c r="B20" s="125"/>
      <c r="C20" s="124"/>
      <c r="D20" s="125"/>
      <c r="E20" s="124"/>
      <c r="F20" s="124"/>
      <c r="G20" s="124"/>
      <c r="H20" s="124"/>
      <c r="I20" s="124"/>
      <c r="J20" s="105"/>
      <c r="K20" s="105"/>
      <c r="L20" s="105"/>
      <c r="M20" s="105"/>
      <c r="N20" s="105"/>
      <c r="O20" s="105"/>
      <c r="P20" s="124"/>
      <c r="Q20" s="124"/>
      <c r="R20" s="124"/>
      <c r="S20" s="124"/>
      <c r="T20" s="126"/>
    </row>
    <row r="21" spans="1:22" x14ac:dyDescent="0.2">
      <c r="A21" s="203"/>
      <c r="B21" s="158" t="s">
        <v>3</v>
      </c>
      <c r="C21" s="159" t="s">
        <v>148</v>
      </c>
      <c r="D21" s="160" t="s">
        <v>122</v>
      </c>
      <c r="E21" s="161" t="s">
        <v>7</v>
      </c>
      <c r="F21" s="160" t="s">
        <v>149</v>
      </c>
      <c r="G21" s="161" t="s">
        <v>150</v>
      </c>
      <c r="H21" s="160" t="s">
        <v>125</v>
      </c>
      <c r="I21" s="160" t="s">
        <v>126</v>
      </c>
      <c r="J21" s="161" t="s">
        <v>127</v>
      </c>
      <c r="K21" s="160" t="s">
        <v>128</v>
      </c>
      <c r="L21" s="161" t="s">
        <v>129</v>
      </c>
      <c r="M21" s="160" t="s">
        <v>130</v>
      </c>
      <c r="N21" s="161" t="s">
        <v>131</v>
      </c>
      <c r="O21" s="160" t="s">
        <v>132</v>
      </c>
      <c r="P21" s="161" t="s">
        <v>133</v>
      </c>
      <c r="Q21" s="160" t="s">
        <v>134</v>
      </c>
      <c r="R21" s="161" t="s">
        <v>135</v>
      </c>
      <c r="S21" s="160" t="s">
        <v>136</v>
      </c>
      <c r="T21" s="162" t="s">
        <v>137</v>
      </c>
      <c r="V21" s="116"/>
    </row>
    <row r="22" spans="1:22" ht="13.5" thickBot="1" x14ac:dyDescent="0.25">
      <c r="A22" s="203"/>
      <c r="B22" s="163"/>
      <c r="C22" s="164" t="s">
        <v>15</v>
      </c>
      <c r="D22" s="165"/>
      <c r="E22" s="166"/>
      <c r="F22" s="167"/>
      <c r="G22" s="168" t="s">
        <v>139</v>
      </c>
      <c r="H22" s="167"/>
      <c r="I22" s="167"/>
      <c r="J22" s="166"/>
      <c r="K22" s="167"/>
      <c r="L22" s="166"/>
      <c r="M22" s="167"/>
      <c r="N22" s="166"/>
      <c r="O22" s="167"/>
      <c r="P22" s="166"/>
      <c r="Q22" s="167"/>
      <c r="R22" s="166"/>
      <c r="S22" s="167"/>
      <c r="T22" s="169"/>
      <c r="V22" s="116"/>
    </row>
    <row r="23" spans="1:22" x14ac:dyDescent="0.2">
      <c r="A23" s="204" t="s">
        <v>20</v>
      </c>
      <c r="B23" s="151" t="s">
        <v>21</v>
      </c>
      <c r="C23" s="152">
        <f>SUM(C24:C32)</f>
        <v>657894826.91321981</v>
      </c>
      <c r="D23" s="153">
        <f>SUM(D24:D32)</f>
        <v>0</v>
      </c>
      <c r="E23" s="154">
        <f>SUM(E24:E32)</f>
        <v>0</v>
      </c>
      <c r="F23" s="154">
        <f>SUM(F24:F32)</f>
        <v>0</v>
      </c>
      <c r="G23" s="154">
        <f>SUM(G24:G32)</f>
        <v>657894826.89999986</v>
      </c>
      <c r="H23" s="154">
        <f t="shared" ref="H23:T23" si="7">SUM(H24:H32)</f>
        <v>42754842.600000001</v>
      </c>
      <c r="I23" s="154">
        <f t="shared" si="7"/>
        <v>56003461.550000004</v>
      </c>
      <c r="J23" s="154">
        <f t="shared" si="7"/>
        <v>42754842.550000004</v>
      </c>
      <c r="K23" s="154">
        <f t="shared" si="7"/>
        <v>47468104.550000004</v>
      </c>
      <c r="L23" s="154">
        <f t="shared" si="7"/>
        <v>50192763.350000001</v>
      </c>
      <c r="M23" s="155">
        <f t="shared" si="7"/>
        <v>92532599.349999994</v>
      </c>
      <c r="N23" s="154">
        <f t="shared" si="7"/>
        <v>56798886.350000001</v>
      </c>
      <c r="O23" s="154">
        <f t="shared" si="7"/>
        <v>50618325.350000001</v>
      </c>
      <c r="P23" s="154">
        <f t="shared" si="7"/>
        <v>42754842.350000001</v>
      </c>
      <c r="Q23" s="154">
        <f t="shared" si="7"/>
        <v>42754842.350000001</v>
      </c>
      <c r="R23" s="154">
        <f t="shared" si="7"/>
        <v>42754842.350000001</v>
      </c>
      <c r="S23" s="154">
        <f t="shared" si="7"/>
        <v>90506474.349999994</v>
      </c>
      <c r="T23" s="152">
        <f t="shared" si="7"/>
        <v>657894827.05000019</v>
      </c>
    </row>
    <row r="24" spans="1:22" x14ac:dyDescent="0.2">
      <c r="A24" s="191" t="s">
        <v>22</v>
      </c>
      <c r="B24" s="146" t="s">
        <v>23</v>
      </c>
      <c r="C24" s="190">
        <f>ROUND(510496564.207404,1)</f>
        <v>510496564.19999999</v>
      </c>
      <c r="D24" s="98"/>
      <c r="E24" s="99"/>
      <c r="F24" s="128"/>
      <c r="G24" s="129">
        <f>ROUND((C24+D24+E24-F24),1)</f>
        <v>510496564.19999999</v>
      </c>
      <c r="H24" s="130">
        <f>ROUND(($G$24/12),1)</f>
        <v>42541380.399999999</v>
      </c>
      <c r="I24" s="130">
        <f t="shared" ref="I24:R24" si="8">$G$24/12</f>
        <v>42541380.350000001</v>
      </c>
      <c r="J24" s="130">
        <f t="shared" si="8"/>
        <v>42541380.350000001</v>
      </c>
      <c r="K24" s="130">
        <f t="shared" si="8"/>
        <v>42541380.350000001</v>
      </c>
      <c r="L24" s="130">
        <f t="shared" si="8"/>
        <v>42541380.350000001</v>
      </c>
      <c r="M24" s="130">
        <f t="shared" si="8"/>
        <v>42541380.350000001</v>
      </c>
      <c r="N24" s="130">
        <f t="shared" si="8"/>
        <v>42541380.350000001</v>
      </c>
      <c r="O24" s="130">
        <f t="shared" si="8"/>
        <v>42541380.350000001</v>
      </c>
      <c r="P24" s="130">
        <f t="shared" si="8"/>
        <v>42541380.350000001</v>
      </c>
      <c r="Q24" s="130">
        <f t="shared" si="8"/>
        <v>42541380.350000001</v>
      </c>
      <c r="R24" s="130">
        <f t="shared" si="8"/>
        <v>42541380.350000001</v>
      </c>
      <c r="S24" s="130">
        <f>$G$24/12</f>
        <v>42541380.350000001</v>
      </c>
      <c r="T24" s="132">
        <f>SUM(H24:S24)</f>
        <v>510496564.25000012</v>
      </c>
      <c r="U24" s="116"/>
    </row>
    <row r="25" spans="1:22" x14ac:dyDescent="0.2">
      <c r="A25" s="191" t="s">
        <v>24</v>
      </c>
      <c r="B25" s="146" t="s">
        <v>25</v>
      </c>
      <c r="C25" s="190">
        <v>0</v>
      </c>
      <c r="D25" s="98"/>
      <c r="E25" s="99"/>
      <c r="F25" s="100"/>
      <c r="G25" s="129">
        <f t="shared" ref="G25:G32" si="9">ROUND((C25+D25+E25-F25),1)</f>
        <v>0</v>
      </c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1"/>
      <c r="S25" s="131"/>
      <c r="T25" s="132">
        <f t="shared" ref="T25:T36" si="10">SUM(H25:S25)</f>
        <v>0</v>
      </c>
      <c r="U25" s="116"/>
    </row>
    <row r="26" spans="1:22" x14ac:dyDescent="0.2">
      <c r="A26" s="191" t="s">
        <v>26</v>
      </c>
      <c r="B26" s="146" t="s">
        <v>27</v>
      </c>
      <c r="C26" s="190">
        <v>1077494.3999999999</v>
      </c>
      <c r="D26" s="98"/>
      <c r="E26" s="99"/>
      <c r="F26" s="100"/>
      <c r="G26" s="129">
        <f t="shared" si="9"/>
        <v>1077494.3999999999</v>
      </c>
      <c r="H26" s="130">
        <f>ROUND($G$26/12,2)</f>
        <v>89791.2</v>
      </c>
      <c r="I26" s="130">
        <f t="shared" ref="I26:K26" si="11">ROUND($G$26/12,2)</f>
        <v>89791.2</v>
      </c>
      <c r="J26" s="130">
        <f t="shared" si="11"/>
        <v>89791.2</v>
      </c>
      <c r="K26" s="130">
        <f t="shared" si="11"/>
        <v>89791.2</v>
      </c>
      <c r="L26" s="130">
        <f t="shared" ref="L26:S26" si="12">ROUND($G$26/12,0)</f>
        <v>89791</v>
      </c>
      <c r="M26" s="130">
        <f t="shared" si="12"/>
        <v>89791</v>
      </c>
      <c r="N26" s="130">
        <f t="shared" si="12"/>
        <v>89791</v>
      </c>
      <c r="O26" s="130">
        <f t="shared" si="12"/>
        <v>89791</v>
      </c>
      <c r="P26" s="130">
        <f t="shared" si="12"/>
        <v>89791</v>
      </c>
      <c r="Q26" s="130">
        <f t="shared" si="12"/>
        <v>89791</v>
      </c>
      <c r="R26" s="130">
        <f t="shared" si="12"/>
        <v>89791</v>
      </c>
      <c r="S26" s="130">
        <f t="shared" si="12"/>
        <v>89791</v>
      </c>
      <c r="T26" s="132">
        <f t="shared" si="10"/>
        <v>1077492.8</v>
      </c>
      <c r="U26" s="116"/>
    </row>
    <row r="27" spans="1:22" x14ac:dyDescent="0.2">
      <c r="A27" s="191" t="s">
        <v>28</v>
      </c>
      <c r="B27" s="146" t="s">
        <v>29</v>
      </c>
      <c r="C27" s="190">
        <v>1484049.6</v>
      </c>
      <c r="D27" s="98"/>
      <c r="E27" s="99"/>
      <c r="F27" s="100"/>
      <c r="G27" s="129">
        <f t="shared" si="9"/>
        <v>1484049.6</v>
      </c>
      <c r="H27" s="130">
        <f>ROUND($G$27/12,0)</f>
        <v>123671</v>
      </c>
      <c r="I27" s="130">
        <f t="shared" ref="I27:S27" si="13">ROUND($G$27/12,0)</f>
        <v>123671</v>
      </c>
      <c r="J27" s="130">
        <f t="shared" si="13"/>
        <v>123671</v>
      </c>
      <c r="K27" s="130">
        <f t="shared" si="13"/>
        <v>123671</v>
      </c>
      <c r="L27" s="130">
        <f t="shared" si="13"/>
        <v>123671</v>
      </c>
      <c r="M27" s="130">
        <f t="shared" si="13"/>
        <v>123671</v>
      </c>
      <c r="N27" s="130">
        <f t="shared" si="13"/>
        <v>123671</v>
      </c>
      <c r="O27" s="130">
        <f t="shared" si="13"/>
        <v>123671</v>
      </c>
      <c r="P27" s="130">
        <f t="shared" si="13"/>
        <v>123671</v>
      </c>
      <c r="Q27" s="130">
        <f t="shared" si="13"/>
        <v>123671</v>
      </c>
      <c r="R27" s="130">
        <f t="shared" si="13"/>
        <v>123671</v>
      </c>
      <c r="S27" s="130">
        <f t="shared" si="13"/>
        <v>123671</v>
      </c>
      <c r="T27" s="132">
        <f t="shared" si="10"/>
        <v>1484052</v>
      </c>
      <c r="U27" s="116"/>
    </row>
    <row r="28" spans="1:22" x14ac:dyDescent="0.2">
      <c r="A28" s="191" t="s">
        <v>30</v>
      </c>
      <c r="B28" s="146" t="s">
        <v>31</v>
      </c>
      <c r="C28" s="190">
        <v>15036740.388045937</v>
      </c>
      <c r="D28" s="98"/>
      <c r="E28" s="99"/>
      <c r="F28" s="100"/>
      <c r="G28" s="129">
        <f t="shared" si="9"/>
        <v>15036740.4</v>
      </c>
      <c r="H28" s="130">
        <v>0</v>
      </c>
      <c r="I28" s="41">
        <v>2663599</v>
      </c>
      <c r="J28" s="41">
        <v>0</v>
      </c>
      <c r="K28" s="41">
        <v>851815</v>
      </c>
      <c r="L28" s="41">
        <v>1572442</v>
      </c>
      <c r="M28" s="41">
        <v>5549311</v>
      </c>
      <c r="N28" s="41">
        <v>2759301</v>
      </c>
      <c r="O28" s="41">
        <v>1640272</v>
      </c>
      <c r="P28" s="41">
        <v>0</v>
      </c>
      <c r="Q28" s="41">
        <v>0</v>
      </c>
      <c r="R28" s="41">
        <v>0</v>
      </c>
      <c r="S28" s="41">
        <v>0</v>
      </c>
      <c r="T28" s="132">
        <f t="shared" si="10"/>
        <v>15036740</v>
      </c>
      <c r="U28" s="116"/>
    </row>
    <row r="29" spans="1:22" x14ac:dyDescent="0.2">
      <c r="A29" s="191" t="s">
        <v>32</v>
      </c>
      <c r="B29" s="146" t="s">
        <v>33</v>
      </c>
      <c r="C29" s="190">
        <v>22003952.024810392</v>
      </c>
      <c r="D29" s="98"/>
      <c r="E29" s="101"/>
      <c r="F29" s="100"/>
      <c r="G29" s="129">
        <f t="shared" si="9"/>
        <v>22003952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42">
        <f>G29</f>
        <v>22003952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2">
        <f t="shared" si="10"/>
        <v>22003952</v>
      </c>
      <c r="U29" s="116"/>
    </row>
    <row r="30" spans="1:22" x14ac:dyDescent="0.2">
      <c r="A30" s="191" t="s">
        <v>34</v>
      </c>
      <c r="B30" s="146" t="s">
        <v>35</v>
      </c>
      <c r="C30" s="190">
        <v>22920783.359177493</v>
      </c>
      <c r="D30" s="98"/>
      <c r="E30" s="99"/>
      <c r="F30" s="133"/>
      <c r="G30" s="129">
        <f t="shared" si="9"/>
        <v>22920783.399999999</v>
      </c>
      <c r="H30" s="130">
        <v>0</v>
      </c>
      <c r="I30" s="25">
        <v>4111502</v>
      </c>
      <c r="J30" s="41"/>
      <c r="K30" s="41">
        <v>1499776</v>
      </c>
      <c r="L30" s="41">
        <v>2268032</v>
      </c>
      <c r="M30" s="41">
        <f>8498759-195224</f>
        <v>8303535</v>
      </c>
      <c r="N30" s="41">
        <v>4225865</v>
      </c>
      <c r="O30" s="41">
        <v>2512073</v>
      </c>
      <c r="P30" s="134">
        <v>0</v>
      </c>
      <c r="Q30" s="134">
        <v>0</v>
      </c>
      <c r="R30" s="134">
        <v>0</v>
      </c>
      <c r="S30" s="134">
        <v>0</v>
      </c>
      <c r="T30" s="132">
        <f t="shared" si="10"/>
        <v>22920783</v>
      </c>
      <c r="U30" s="116"/>
    </row>
    <row r="31" spans="1:22" x14ac:dyDescent="0.2">
      <c r="A31" s="191">
        <v>2020110109</v>
      </c>
      <c r="B31" s="146" t="s">
        <v>36</v>
      </c>
      <c r="C31" s="190">
        <v>37123610.942899451</v>
      </c>
      <c r="D31" s="98"/>
      <c r="E31" s="99"/>
      <c r="F31" s="133"/>
      <c r="G31" s="129">
        <f t="shared" si="9"/>
        <v>37123610.899999999</v>
      </c>
      <c r="H31" s="130">
        <v>0</v>
      </c>
      <c r="I31" s="25">
        <f>5966518+507000</f>
        <v>6473518</v>
      </c>
      <c r="J31" s="41"/>
      <c r="K31" s="41">
        <f>2199671+162000</f>
        <v>2361671</v>
      </c>
      <c r="L31" s="41">
        <f>3326447+271000</f>
        <v>3597447</v>
      </c>
      <c r="M31" s="41">
        <f>12863959+1057000</f>
        <v>13920959</v>
      </c>
      <c r="N31" s="41">
        <f>6532878+526000</f>
        <v>7058878</v>
      </c>
      <c r="O31" s="41">
        <f>3684373+26765</f>
        <v>3711138</v>
      </c>
      <c r="P31" s="134">
        <v>0</v>
      </c>
      <c r="Q31" s="134">
        <v>0</v>
      </c>
      <c r="R31" s="134">
        <v>0</v>
      </c>
      <c r="S31" s="134">
        <v>0</v>
      </c>
      <c r="T31" s="132">
        <f t="shared" si="10"/>
        <v>37123611</v>
      </c>
      <c r="U31" s="116"/>
    </row>
    <row r="32" spans="1:22" ht="13.5" thickBot="1" x14ac:dyDescent="0.25">
      <c r="A32" s="191">
        <v>2020110108</v>
      </c>
      <c r="B32" s="146" t="s">
        <v>37</v>
      </c>
      <c r="C32" s="190">
        <v>47751631.998286448</v>
      </c>
      <c r="D32" s="98"/>
      <c r="E32" s="99"/>
      <c r="F32" s="100"/>
      <c r="G32" s="129">
        <f t="shared" si="9"/>
        <v>47751632</v>
      </c>
      <c r="H32" s="130">
        <v>0</v>
      </c>
      <c r="I32" s="27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f>G32</f>
        <v>47751632</v>
      </c>
      <c r="T32" s="132">
        <f t="shared" si="10"/>
        <v>47751632</v>
      </c>
      <c r="U32" s="116"/>
    </row>
    <row r="33" spans="1:21" x14ac:dyDescent="0.2">
      <c r="A33" s="205">
        <v>20201102</v>
      </c>
      <c r="B33" s="151" t="s">
        <v>151</v>
      </c>
      <c r="C33" s="151">
        <f>SUM(C34:C36)</f>
        <v>12849993</v>
      </c>
      <c r="D33" s="151">
        <f>SUM(D34:D36)</f>
        <v>0</v>
      </c>
      <c r="E33" s="151">
        <f>SUM(E34:E36)</f>
        <v>0</v>
      </c>
      <c r="F33" s="151">
        <f>SUM(F34:F36)</f>
        <v>0</v>
      </c>
      <c r="G33" s="200">
        <f>SUM(G34:G36)</f>
        <v>12849993</v>
      </c>
      <c r="H33" s="200">
        <f t="shared" ref="H33:T33" si="14">SUM(H34:H36)</f>
        <v>12849993</v>
      </c>
      <c r="I33" s="200">
        <f t="shared" si="14"/>
        <v>0</v>
      </c>
      <c r="J33" s="200">
        <f t="shared" si="14"/>
        <v>0</v>
      </c>
      <c r="K33" s="200">
        <f t="shared" si="14"/>
        <v>0</v>
      </c>
      <c r="L33" s="200">
        <f t="shared" si="14"/>
        <v>0</v>
      </c>
      <c r="M33" s="200">
        <f t="shared" si="14"/>
        <v>0</v>
      </c>
      <c r="N33" s="200">
        <f t="shared" si="14"/>
        <v>0</v>
      </c>
      <c r="O33" s="200">
        <f t="shared" si="14"/>
        <v>0</v>
      </c>
      <c r="P33" s="200">
        <f t="shared" si="14"/>
        <v>0</v>
      </c>
      <c r="Q33" s="200">
        <f t="shared" si="14"/>
        <v>0</v>
      </c>
      <c r="R33" s="200">
        <f t="shared" si="14"/>
        <v>0</v>
      </c>
      <c r="S33" s="200">
        <f t="shared" si="14"/>
        <v>0</v>
      </c>
      <c r="T33" s="200">
        <f t="shared" si="14"/>
        <v>12849993</v>
      </c>
      <c r="U33" s="116"/>
    </row>
    <row r="34" spans="1:21" x14ac:dyDescent="0.2">
      <c r="A34" s="191" t="s">
        <v>40</v>
      </c>
      <c r="B34" s="147" t="s">
        <v>41</v>
      </c>
      <c r="C34" s="193">
        <f>2300000+10549993</f>
        <v>12849993</v>
      </c>
      <c r="D34" s="98"/>
      <c r="E34" s="101"/>
      <c r="F34" s="100"/>
      <c r="G34" s="129">
        <f t="shared" ref="G34:G36" si="15">C34+D34+E34-F34</f>
        <v>12849993</v>
      </c>
      <c r="H34" s="131">
        <f>G34</f>
        <v>12849993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v>0</v>
      </c>
      <c r="S34" s="130">
        <v>0</v>
      </c>
      <c r="T34" s="132">
        <f t="shared" si="10"/>
        <v>12849993</v>
      </c>
      <c r="U34" s="116"/>
    </row>
    <row r="35" spans="1:21" x14ac:dyDescent="0.2">
      <c r="A35" s="191" t="s">
        <v>42</v>
      </c>
      <c r="B35" s="146" t="s">
        <v>43</v>
      </c>
      <c r="C35" s="193">
        <v>0</v>
      </c>
      <c r="D35" s="98"/>
      <c r="E35" s="99"/>
      <c r="F35" s="100"/>
      <c r="G35" s="129">
        <f t="shared" si="15"/>
        <v>0</v>
      </c>
      <c r="H35" s="129">
        <f t="shared" ref="H35:H36" si="16">D35+E35+F35-G35</f>
        <v>0</v>
      </c>
      <c r="I35" s="129">
        <f t="shared" ref="I35:I36" si="17">E35+F35+G35-H35</f>
        <v>0</v>
      </c>
      <c r="J35" s="129">
        <f t="shared" ref="J35:J36" si="18">F35+G35+H35-I35</f>
        <v>0</v>
      </c>
      <c r="K35" s="129">
        <f t="shared" ref="K35:K36" si="19">G35+H35+I35-J35</f>
        <v>0</v>
      </c>
      <c r="L35" s="129">
        <f t="shared" ref="L35:L36" si="20">H35+I35+J35-K35</f>
        <v>0</v>
      </c>
      <c r="M35" s="129">
        <f t="shared" ref="M35:M36" si="21">I35+J35+K35-L35</f>
        <v>0</v>
      </c>
      <c r="N35" s="129">
        <f t="shared" ref="N35:N36" si="22">J35+K35+L35-M35</f>
        <v>0</v>
      </c>
      <c r="O35" s="129">
        <f t="shared" ref="O35:O36" si="23">K35+L35+M35-N35</f>
        <v>0</v>
      </c>
      <c r="P35" s="129">
        <f t="shared" ref="P35:P36" si="24">L35+M35+N35-O35</f>
        <v>0</v>
      </c>
      <c r="Q35" s="129">
        <f t="shared" ref="Q35:Q36" si="25">M35+N35+O35-P35</f>
        <v>0</v>
      </c>
      <c r="R35" s="129">
        <f t="shared" ref="R35:R36" si="26">N35+O35+P35-Q35</f>
        <v>0</v>
      </c>
      <c r="S35" s="129">
        <f t="shared" ref="S35:S36" si="27">O35+P35+Q35-R35</f>
        <v>0</v>
      </c>
      <c r="T35" s="132">
        <f t="shared" si="10"/>
        <v>0</v>
      </c>
      <c r="U35" s="116"/>
    </row>
    <row r="36" spans="1:21" x14ac:dyDescent="0.2">
      <c r="A36" s="191" t="s">
        <v>44</v>
      </c>
      <c r="B36" s="148" t="s">
        <v>45</v>
      </c>
      <c r="C36" s="193">
        <v>0</v>
      </c>
      <c r="D36" s="98"/>
      <c r="E36" s="99"/>
      <c r="F36" s="100"/>
      <c r="G36" s="129">
        <f t="shared" si="15"/>
        <v>0</v>
      </c>
      <c r="H36" s="129">
        <f t="shared" si="16"/>
        <v>0</v>
      </c>
      <c r="I36" s="129">
        <f t="shared" si="17"/>
        <v>0</v>
      </c>
      <c r="J36" s="129">
        <f t="shared" si="18"/>
        <v>0</v>
      </c>
      <c r="K36" s="129">
        <f t="shared" si="19"/>
        <v>0</v>
      </c>
      <c r="L36" s="129">
        <f t="shared" si="20"/>
        <v>0</v>
      </c>
      <c r="M36" s="129">
        <f t="shared" si="21"/>
        <v>0</v>
      </c>
      <c r="N36" s="129">
        <f t="shared" si="22"/>
        <v>0</v>
      </c>
      <c r="O36" s="129">
        <f t="shared" si="23"/>
        <v>0</v>
      </c>
      <c r="P36" s="129">
        <f t="shared" si="24"/>
        <v>0</v>
      </c>
      <c r="Q36" s="129">
        <f t="shared" si="25"/>
        <v>0</v>
      </c>
      <c r="R36" s="129">
        <f t="shared" si="26"/>
        <v>0</v>
      </c>
      <c r="S36" s="129">
        <f t="shared" si="27"/>
        <v>0</v>
      </c>
      <c r="T36" s="132">
        <f t="shared" si="10"/>
        <v>0</v>
      </c>
      <c r="U36" s="116"/>
    </row>
    <row r="37" spans="1:21" ht="24" customHeight="1" thickBot="1" x14ac:dyDescent="0.25">
      <c r="A37" s="203"/>
      <c r="B37" s="156" t="s">
        <v>152</v>
      </c>
      <c r="C37" s="157">
        <f>C38+C43</f>
        <v>91648328</v>
      </c>
      <c r="D37" s="153">
        <f>D38+D43</f>
        <v>0</v>
      </c>
      <c r="E37" s="154">
        <f>E38+E43</f>
        <v>0</v>
      </c>
      <c r="F37" s="154">
        <f>F38+F43</f>
        <v>0</v>
      </c>
      <c r="G37" s="154">
        <f>G38+G43</f>
        <v>91648328</v>
      </c>
      <c r="H37" s="154">
        <f t="shared" ref="H37:S37" si="28">H38+H43</f>
        <v>4884861</v>
      </c>
      <c r="I37" s="154">
        <f t="shared" si="28"/>
        <v>15964861</v>
      </c>
      <c r="J37" s="154">
        <f t="shared" si="28"/>
        <v>20384861</v>
      </c>
      <c r="K37" s="154">
        <f t="shared" si="28"/>
        <v>9084861</v>
      </c>
      <c r="L37" s="154">
        <f t="shared" si="28"/>
        <v>5284861</v>
      </c>
      <c r="M37" s="154">
        <f t="shared" si="28"/>
        <v>4884861</v>
      </c>
      <c r="N37" s="154">
        <f t="shared" si="28"/>
        <v>4884861</v>
      </c>
      <c r="O37" s="154">
        <f t="shared" si="28"/>
        <v>4884861</v>
      </c>
      <c r="P37" s="154">
        <f t="shared" si="28"/>
        <v>5284861</v>
      </c>
      <c r="Q37" s="154">
        <f t="shared" si="28"/>
        <v>4884861</v>
      </c>
      <c r="R37" s="154">
        <f t="shared" si="28"/>
        <v>5834861</v>
      </c>
      <c r="S37" s="154">
        <f t="shared" si="28"/>
        <v>5384861</v>
      </c>
      <c r="T37" s="157">
        <f>T43+T38</f>
        <v>91648328.400000006</v>
      </c>
      <c r="U37" s="116"/>
    </row>
    <row r="38" spans="1:21" x14ac:dyDescent="0.2">
      <c r="A38" s="205">
        <v>20201201</v>
      </c>
      <c r="B38" s="151" t="s">
        <v>153</v>
      </c>
      <c r="C38" s="200">
        <f>SUM(C39:C42)</f>
        <v>16200000</v>
      </c>
      <c r="D38" s="151">
        <f>SUM(D39:D42)</f>
        <v>0</v>
      </c>
      <c r="E38" s="151">
        <f>SUM(E39:E42)</f>
        <v>0</v>
      </c>
      <c r="F38" s="151">
        <f>SUM(F39:F42)</f>
        <v>0</v>
      </c>
      <c r="G38" s="200">
        <f>SUM(G39:G42)</f>
        <v>16200000</v>
      </c>
      <c r="H38" s="200">
        <f t="shared" ref="H38:T38" si="29">SUM(H39:H42)</f>
        <v>0</v>
      </c>
      <c r="I38" s="200">
        <f t="shared" si="29"/>
        <v>9000000</v>
      </c>
      <c r="J38" s="200">
        <f t="shared" si="29"/>
        <v>3000000</v>
      </c>
      <c r="K38" s="200">
        <f t="shared" si="29"/>
        <v>4200000</v>
      </c>
      <c r="L38" s="200">
        <f t="shared" si="29"/>
        <v>0</v>
      </c>
      <c r="M38" s="200">
        <f t="shared" si="29"/>
        <v>0</v>
      </c>
      <c r="N38" s="200">
        <f t="shared" si="29"/>
        <v>0</v>
      </c>
      <c r="O38" s="200">
        <f t="shared" si="29"/>
        <v>0</v>
      </c>
      <c r="P38" s="200">
        <f t="shared" si="29"/>
        <v>0</v>
      </c>
      <c r="Q38" s="200">
        <f t="shared" si="29"/>
        <v>0</v>
      </c>
      <c r="R38" s="200">
        <f t="shared" si="29"/>
        <v>0</v>
      </c>
      <c r="S38" s="200">
        <f t="shared" si="29"/>
        <v>0</v>
      </c>
      <c r="T38" s="200">
        <f t="shared" si="29"/>
        <v>16200000</v>
      </c>
      <c r="U38" s="116"/>
    </row>
    <row r="39" spans="1:21" x14ac:dyDescent="0.2">
      <c r="A39" s="191" t="s">
        <v>48</v>
      </c>
      <c r="B39" s="148" t="s">
        <v>49</v>
      </c>
      <c r="C39" s="193">
        <v>3000000</v>
      </c>
      <c r="D39" s="98"/>
      <c r="E39" s="99"/>
      <c r="F39" s="100"/>
      <c r="G39" s="129">
        <f t="shared" ref="G39:G42" si="30">C39+D39+E39-F39</f>
        <v>3000000</v>
      </c>
      <c r="H39" s="131"/>
      <c r="I39" s="25"/>
      <c r="J39" s="25">
        <f>G39</f>
        <v>3000000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132">
        <f t="shared" ref="T39:T63" si="31">SUM(H39:S39)</f>
        <v>3000000</v>
      </c>
      <c r="U39" s="116"/>
    </row>
    <row r="40" spans="1:21" x14ac:dyDescent="0.2">
      <c r="A40" s="191" t="s">
        <v>50</v>
      </c>
      <c r="B40" s="149" t="s">
        <v>51</v>
      </c>
      <c r="C40" s="193">
        <v>12000000</v>
      </c>
      <c r="D40" s="135"/>
      <c r="E40" s="99"/>
      <c r="F40" s="100"/>
      <c r="G40" s="129">
        <f t="shared" si="30"/>
        <v>12000000</v>
      </c>
      <c r="H40" s="130"/>
      <c r="I40" s="130">
        <f>9000000</f>
        <v>9000000</v>
      </c>
      <c r="J40" s="130">
        <v>0</v>
      </c>
      <c r="K40" s="130">
        <v>3000000</v>
      </c>
      <c r="L40" s="130">
        <v>0</v>
      </c>
      <c r="M40" s="130">
        <v>0</v>
      </c>
      <c r="N40" s="130">
        <v>0</v>
      </c>
      <c r="O40" s="130">
        <v>0</v>
      </c>
      <c r="P40" s="130">
        <v>0</v>
      </c>
      <c r="Q40" s="130">
        <v>0</v>
      </c>
      <c r="R40" s="130">
        <v>0</v>
      </c>
      <c r="S40" s="130">
        <v>0</v>
      </c>
      <c r="T40" s="132">
        <f t="shared" si="31"/>
        <v>12000000</v>
      </c>
      <c r="U40" s="116"/>
    </row>
    <row r="41" spans="1:21" x14ac:dyDescent="0.2">
      <c r="A41" s="191" t="s">
        <v>52</v>
      </c>
      <c r="B41" s="148" t="s">
        <v>53</v>
      </c>
      <c r="C41" s="193">
        <v>1200000</v>
      </c>
      <c r="D41" s="98"/>
      <c r="E41" s="99"/>
      <c r="F41" s="100"/>
      <c r="G41" s="129">
        <f t="shared" si="30"/>
        <v>1200000</v>
      </c>
      <c r="H41" s="131"/>
      <c r="I41" s="130"/>
      <c r="J41" s="130"/>
      <c r="K41" s="130">
        <v>1200000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0</v>
      </c>
      <c r="R41" s="131">
        <v>0</v>
      </c>
      <c r="S41" s="131"/>
      <c r="T41" s="132">
        <f t="shared" si="31"/>
        <v>1200000</v>
      </c>
      <c r="U41" s="116"/>
    </row>
    <row r="42" spans="1:21" x14ac:dyDescent="0.2">
      <c r="A42" s="191" t="s">
        <v>54</v>
      </c>
      <c r="B42" s="148" t="s">
        <v>55</v>
      </c>
      <c r="C42" s="193">
        <v>0</v>
      </c>
      <c r="D42" s="98">
        <v>0</v>
      </c>
      <c r="E42" s="99">
        <v>0</v>
      </c>
      <c r="F42" s="100">
        <v>0</v>
      </c>
      <c r="G42" s="129">
        <f t="shared" si="30"/>
        <v>0</v>
      </c>
      <c r="H42" s="131">
        <f t="shared" ref="H42:R42" si="32">ROUND($G$42/12,-1)</f>
        <v>0</v>
      </c>
      <c r="I42" s="130"/>
      <c r="J42" s="130">
        <v>0</v>
      </c>
      <c r="K42" s="130">
        <v>0</v>
      </c>
      <c r="L42" s="131">
        <f t="shared" si="32"/>
        <v>0</v>
      </c>
      <c r="M42" s="131">
        <f t="shared" si="32"/>
        <v>0</v>
      </c>
      <c r="N42" s="131">
        <f t="shared" si="32"/>
        <v>0</v>
      </c>
      <c r="O42" s="131">
        <f t="shared" si="32"/>
        <v>0</v>
      </c>
      <c r="P42" s="131">
        <f t="shared" si="32"/>
        <v>0</v>
      </c>
      <c r="Q42" s="131">
        <f t="shared" si="32"/>
        <v>0</v>
      </c>
      <c r="R42" s="131">
        <f t="shared" si="32"/>
        <v>0</v>
      </c>
      <c r="S42" s="131">
        <f>G42-SUM(H42:R42)</f>
        <v>0</v>
      </c>
      <c r="T42" s="132">
        <f t="shared" si="31"/>
        <v>0</v>
      </c>
      <c r="U42" s="116"/>
    </row>
    <row r="43" spans="1:21" x14ac:dyDescent="0.2">
      <c r="A43" s="205" t="s">
        <v>56</v>
      </c>
      <c r="B43" s="192" t="s">
        <v>154</v>
      </c>
      <c r="C43" s="192">
        <f>SUM(C44:C58)</f>
        <v>75448328</v>
      </c>
      <c r="D43" s="192">
        <f>SUM(D44:D57)</f>
        <v>0</v>
      </c>
      <c r="E43" s="192">
        <f>SUM(E44:E58)</f>
        <v>0</v>
      </c>
      <c r="F43" s="192">
        <f>SUM(F44:F57)</f>
        <v>0</v>
      </c>
      <c r="G43" s="194">
        <f>ROUND(SUM(G44:G58),0)</f>
        <v>75448328</v>
      </c>
      <c r="H43" s="194">
        <f t="shared" ref="H43:S43" si="33">ROUND(SUM(H44:H58),0)</f>
        <v>4884861</v>
      </c>
      <c r="I43" s="194">
        <f t="shared" si="33"/>
        <v>6964861</v>
      </c>
      <c r="J43" s="194">
        <f t="shared" si="33"/>
        <v>17384861</v>
      </c>
      <c r="K43" s="194">
        <f t="shared" si="33"/>
        <v>4884861</v>
      </c>
      <c r="L43" s="194">
        <f t="shared" si="33"/>
        <v>5284861</v>
      </c>
      <c r="M43" s="194">
        <f t="shared" si="33"/>
        <v>4884861</v>
      </c>
      <c r="N43" s="194">
        <f t="shared" si="33"/>
        <v>4884861</v>
      </c>
      <c r="O43" s="194">
        <f t="shared" si="33"/>
        <v>4884861</v>
      </c>
      <c r="P43" s="194">
        <f t="shared" si="33"/>
        <v>5284861</v>
      </c>
      <c r="Q43" s="194">
        <f t="shared" si="33"/>
        <v>4884861</v>
      </c>
      <c r="R43" s="194">
        <f t="shared" si="33"/>
        <v>5834861</v>
      </c>
      <c r="S43" s="194">
        <f t="shared" si="33"/>
        <v>5384861</v>
      </c>
      <c r="T43" s="195">
        <f>SUM(T44:T58)</f>
        <v>75448328.400000006</v>
      </c>
      <c r="U43" s="116"/>
    </row>
    <row r="44" spans="1:21" x14ac:dyDescent="0.2">
      <c r="A44" s="191" t="s">
        <v>58</v>
      </c>
      <c r="B44" s="148" t="s">
        <v>59</v>
      </c>
      <c r="C44" s="193">
        <v>180000</v>
      </c>
      <c r="D44" s="135"/>
      <c r="E44" s="101"/>
      <c r="F44" s="100"/>
      <c r="G44" s="129">
        <f>C44+D44+E44-F44</f>
        <v>180000</v>
      </c>
      <c r="H44" s="130"/>
      <c r="I44" s="130">
        <v>180000</v>
      </c>
      <c r="J44" s="130"/>
      <c r="K44" s="130"/>
      <c r="L44" s="134"/>
      <c r="M44" s="130"/>
      <c r="N44" s="130"/>
      <c r="O44" s="134"/>
      <c r="P44" s="130"/>
      <c r="Q44" s="130"/>
      <c r="R44" s="134"/>
      <c r="S44" s="134"/>
      <c r="T44" s="132">
        <f t="shared" si="31"/>
        <v>180000</v>
      </c>
      <c r="U44" s="116"/>
    </row>
    <row r="45" spans="1:21" x14ac:dyDescent="0.2">
      <c r="A45" s="191">
        <v>2020120202</v>
      </c>
      <c r="B45" s="148" t="s">
        <v>61</v>
      </c>
      <c r="C45" s="193">
        <v>39298328</v>
      </c>
      <c r="D45" s="135"/>
      <c r="E45" s="101"/>
      <c r="F45" s="100"/>
      <c r="G45" s="129">
        <f t="shared" ref="G45:G76" si="34">C45+D45+E45-F45</f>
        <v>39298328</v>
      </c>
      <c r="H45" s="130">
        <f>ROUND(($G$45/12),1)</f>
        <v>3274860.7</v>
      </c>
      <c r="I45" s="130">
        <f t="shared" ref="I45:S45" si="35">ROUND(($G$45/12),1)</f>
        <v>3274860.7</v>
      </c>
      <c r="J45" s="130">
        <f t="shared" si="35"/>
        <v>3274860.7</v>
      </c>
      <c r="K45" s="130">
        <f t="shared" si="35"/>
        <v>3274860.7</v>
      </c>
      <c r="L45" s="130">
        <f t="shared" si="35"/>
        <v>3274860.7</v>
      </c>
      <c r="M45" s="130">
        <f t="shared" si="35"/>
        <v>3274860.7</v>
      </c>
      <c r="N45" s="130">
        <f t="shared" si="35"/>
        <v>3274860.7</v>
      </c>
      <c r="O45" s="130">
        <f t="shared" si="35"/>
        <v>3274860.7</v>
      </c>
      <c r="P45" s="130">
        <f t="shared" si="35"/>
        <v>3274860.7</v>
      </c>
      <c r="Q45" s="130">
        <f t="shared" si="35"/>
        <v>3274860.7</v>
      </c>
      <c r="R45" s="130">
        <f t="shared" si="35"/>
        <v>3274860.7</v>
      </c>
      <c r="S45" s="130">
        <f t="shared" si="35"/>
        <v>3274860.7</v>
      </c>
      <c r="T45" s="132">
        <f t="shared" si="31"/>
        <v>39298328.399999999</v>
      </c>
      <c r="U45" s="116"/>
    </row>
    <row r="46" spans="1:21" x14ac:dyDescent="0.2">
      <c r="A46" s="191" t="s">
        <v>62</v>
      </c>
      <c r="B46" s="148" t="s">
        <v>63</v>
      </c>
      <c r="C46" s="193">
        <v>1200000</v>
      </c>
      <c r="D46" s="98"/>
      <c r="E46" s="99"/>
      <c r="F46" s="100"/>
      <c r="G46" s="129">
        <f t="shared" si="34"/>
        <v>1200000</v>
      </c>
      <c r="H46" s="130"/>
      <c r="I46" s="41">
        <v>400000</v>
      </c>
      <c r="J46" s="41"/>
      <c r="K46" s="41"/>
      <c r="L46" s="41">
        <v>400000</v>
      </c>
      <c r="M46" s="41"/>
      <c r="N46" s="41"/>
      <c r="O46" s="131"/>
      <c r="P46" s="131">
        <v>400000</v>
      </c>
      <c r="Q46" s="41"/>
      <c r="R46" s="131"/>
      <c r="S46" s="131"/>
      <c r="T46" s="132">
        <f t="shared" si="31"/>
        <v>1200000</v>
      </c>
      <c r="U46" s="116"/>
    </row>
    <row r="47" spans="1:21" x14ac:dyDescent="0.2">
      <c r="A47" s="191" t="s">
        <v>64</v>
      </c>
      <c r="B47" s="148" t="s">
        <v>65</v>
      </c>
      <c r="C47" s="193">
        <f>900000*12</f>
        <v>10800000</v>
      </c>
      <c r="D47" s="98"/>
      <c r="E47" s="99"/>
      <c r="F47" s="100"/>
      <c r="G47" s="129">
        <f t="shared" si="34"/>
        <v>10800000</v>
      </c>
      <c r="H47" s="130">
        <f>ROUND(($G$47/12),1)</f>
        <v>900000</v>
      </c>
      <c r="I47" s="130">
        <f t="shared" ref="I47:S47" si="36">ROUND(($G$47/12),1)</f>
        <v>900000</v>
      </c>
      <c r="J47" s="130">
        <f t="shared" si="36"/>
        <v>900000</v>
      </c>
      <c r="K47" s="130">
        <f t="shared" si="36"/>
        <v>900000</v>
      </c>
      <c r="L47" s="130">
        <f t="shared" si="36"/>
        <v>900000</v>
      </c>
      <c r="M47" s="130">
        <f t="shared" si="36"/>
        <v>900000</v>
      </c>
      <c r="N47" s="130">
        <f t="shared" si="36"/>
        <v>900000</v>
      </c>
      <c r="O47" s="130">
        <f t="shared" si="36"/>
        <v>900000</v>
      </c>
      <c r="P47" s="130">
        <f t="shared" si="36"/>
        <v>900000</v>
      </c>
      <c r="Q47" s="130">
        <f t="shared" si="36"/>
        <v>900000</v>
      </c>
      <c r="R47" s="130">
        <f t="shared" si="36"/>
        <v>900000</v>
      </c>
      <c r="S47" s="130">
        <f t="shared" si="36"/>
        <v>900000</v>
      </c>
      <c r="T47" s="132">
        <f t="shared" si="31"/>
        <v>10800000</v>
      </c>
      <c r="U47" s="116"/>
    </row>
    <row r="48" spans="1:21" x14ac:dyDescent="0.2">
      <c r="A48" s="191" t="s">
        <v>66</v>
      </c>
      <c r="B48" s="148" t="s">
        <v>67</v>
      </c>
      <c r="C48" s="193">
        <f>550000*12</f>
        <v>6600000</v>
      </c>
      <c r="D48" s="98"/>
      <c r="E48" s="101"/>
      <c r="F48" s="100"/>
      <c r="G48" s="129">
        <f t="shared" si="34"/>
        <v>6600000</v>
      </c>
      <c r="H48" s="130">
        <f>ROUND(($G$48/12),1)</f>
        <v>550000</v>
      </c>
      <c r="I48" s="130">
        <f t="shared" ref="I48:S48" si="37">ROUND(($G$48/12),1)</f>
        <v>550000</v>
      </c>
      <c r="J48" s="130">
        <f t="shared" si="37"/>
        <v>550000</v>
      </c>
      <c r="K48" s="130">
        <f t="shared" si="37"/>
        <v>550000</v>
      </c>
      <c r="L48" s="130">
        <f t="shared" si="37"/>
        <v>550000</v>
      </c>
      <c r="M48" s="130">
        <f t="shared" si="37"/>
        <v>550000</v>
      </c>
      <c r="N48" s="130">
        <f t="shared" si="37"/>
        <v>550000</v>
      </c>
      <c r="O48" s="130">
        <f t="shared" si="37"/>
        <v>550000</v>
      </c>
      <c r="P48" s="130">
        <f t="shared" si="37"/>
        <v>550000</v>
      </c>
      <c r="Q48" s="130">
        <f t="shared" si="37"/>
        <v>550000</v>
      </c>
      <c r="R48" s="130">
        <f t="shared" si="37"/>
        <v>550000</v>
      </c>
      <c r="S48" s="130">
        <f t="shared" si="37"/>
        <v>550000</v>
      </c>
      <c r="T48" s="132">
        <f t="shared" si="31"/>
        <v>6600000</v>
      </c>
      <c r="U48" s="116"/>
    </row>
    <row r="49" spans="1:22" x14ac:dyDescent="0.2">
      <c r="A49" s="191" t="s">
        <v>68</v>
      </c>
      <c r="B49" s="148" t="s">
        <v>69</v>
      </c>
      <c r="C49" s="193">
        <f>160000*12</f>
        <v>1920000</v>
      </c>
      <c r="D49" s="98"/>
      <c r="E49" s="99"/>
      <c r="F49" s="100"/>
      <c r="G49" s="129">
        <f t="shared" si="34"/>
        <v>1920000</v>
      </c>
      <c r="H49" s="130">
        <f>ROUND(($G$49/12),0)</f>
        <v>160000</v>
      </c>
      <c r="I49" s="130">
        <f t="shared" ref="I49:S49" si="38">ROUND(($G$49/12),0)</f>
        <v>160000</v>
      </c>
      <c r="J49" s="130">
        <f t="shared" si="38"/>
        <v>160000</v>
      </c>
      <c r="K49" s="130">
        <f t="shared" si="38"/>
        <v>160000</v>
      </c>
      <c r="L49" s="130">
        <f t="shared" si="38"/>
        <v>160000</v>
      </c>
      <c r="M49" s="130">
        <f t="shared" si="38"/>
        <v>160000</v>
      </c>
      <c r="N49" s="130">
        <f t="shared" si="38"/>
        <v>160000</v>
      </c>
      <c r="O49" s="130">
        <f t="shared" si="38"/>
        <v>160000</v>
      </c>
      <c r="P49" s="130">
        <f t="shared" si="38"/>
        <v>160000</v>
      </c>
      <c r="Q49" s="130">
        <f t="shared" si="38"/>
        <v>160000</v>
      </c>
      <c r="R49" s="130">
        <f t="shared" si="38"/>
        <v>160000</v>
      </c>
      <c r="S49" s="130">
        <f t="shared" si="38"/>
        <v>160000</v>
      </c>
      <c r="T49" s="132">
        <f t="shared" si="31"/>
        <v>1920000</v>
      </c>
      <c r="U49" s="116"/>
    </row>
    <row r="50" spans="1:22" x14ac:dyDescent="0.2">
      <c r="A50" s="191" t="s">
        <v>70</v>
      </c>
      <c r="B50" s="149" t="s">
        <v>71</v>
      </c>
      <c r="C50" s="193">
        <v>1500000</v>
      </c>
      <c r="D50" s="98"/>
      <c r="E50" s="99"/>
      <c r="F50" s="100"/>
      <c r="G50" s="129">
        <f t="shared" si="34"/>
        <v>1500000</v>
      </c>
      <c r="H50" s="130">
        <v>0</v>
      </c>
      <c r="I50" s="130">
        <v>1500000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130">
        <v>0</v>
      </c>
      <c r="R50" s="130">
        <v>0</v>
      </c>
      <c r="S50" s="130">
        <v>0</v>
      </c>
      <c r="T50" s="132">
        <f t="shared" si="31"/>
        <v>1500000</v>
      </c>
      <c r="U50" s="116"/>
    </row>
    <row r="51" spans="1:22" x14ac:dyDescent="0.2">
      <c r="A51" s="191" t="s">
        <v>72</v>
      </c>
      <c r="B51" s="148" t="s">
        <v>73</v>
      </c>
      <c r="C51" s="193">
        <v>0</v>
      </c>
      <c r="D51" s="98"/>
      <c r="E51" s="99"/>
      <c r="F51" s="100"/>
      <c r="G51" s="129">
        <f t="shared" si="34"/>
        <v>0</v>
      </c>
      <c r="H51" s="129">
        <f t="shared" ref="H51" si="39">D51+E51+F51-G51</f>
        <v>0</v>
      </c>
      <c r="I51" s="129">
        <f t="shared" ref="I51" si="40">E51+F51+G51-H51</f>
        <v>0</v>
      </c>
      <c r="J51" s="129">
        <f t="shared" ref="J51" si="41">F51+G51+H51-I51</f>
        <v>0</v>
      </c>
      <c r="K51" s="129">
        <f t="shared" ref="K51" si="42">G51+H51+I51-J51</f>
        <v>0</v>
      </c>
      <c r="L51" s="129">
        <f t="shared" ref="L51" si="43">H51+I51+J51-K51</f>
        <v>0</v>
      </c>
      <c r="M51" s="129">
        <f t="shared" ref="M51" si="44">I51+J51+K51-L51</f>
        <v>0</v>
      </c>
      <c r="N51" s="129">
        <f t="shared" ref="N51" si="45">J51+K51+L51-M51</f>
        <v>0</v>
      </c>
      <c r="O51" s="129">
        <f t="shared" ref="O51" si="46">K51+L51+M51-N51</f>
        <v>0</v>
      </c>
      <c r="P51" s="129">
        <f t="shared" ref="P51" si="47">L51+M51+N51-O51</f>
        <v>0</v>
      </c>
      <c r="Q51" s="129">
        <f t="shared" ref="Q51" si="48">M51+N51+O51-P51</f>
        <v>0</v>
      </c>
      <c r="R51" s="129">
        <f t="shared" ref="R51" si="49">N51+O51+P51-Q51</f>
        <v>0</v>
      </c>
      <c r="S51" s="129">
        <f t="shared" ref="S51" si="50">O51+P51+Q51-R51</f>
        <v>0</v>
      </c>
      <c r="T51" s="132">
        <f t="shared" si="31"/>
        <v>0</v>
      </c>
      <c r="U51" s="116"/>
    </row>
    <row r="52" spans="1:22" x14ac:dyDescent="0.2">
      <c r="A52" s="191" t="s">
        <v>74</v>
      </c>
      <c r="B52" s="148" t="s">
        <v>75</v>
      </c>
      <c r="C52" s="193">
        <v>8000000</v>
      </c>
      <c r="D52" s="98"/>
      <c r="E52" s="101"/>
      <c r="F52" s="100"/>
      <c r="G52" s="129">
        <f t="shared" si="34"/>
        <v>8000000</v>
      </c>
      <c r="H52" s="130">
        <v>0</v>
      </c>
      <c r="I52" s="43">
        <v>0</v>
      </c>
      <c r="J52" s="43">
        <v>7500000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131">
        <v>0</v>
      </c>
      <c r="S52" s="131">
        <v>500000</v>
      </c>
      <c r="T52" s="132">
        <f t="shared" si="31"/>
        <v>8000000</v>
      </c>
      <c r="U52" s="116"/>
    </row>
    <row r="53" spans="1:22" x14ac:dyDescent="0.2">
      <c r="A53" s="191" t="s">
        <v>76</v>
      </c>
      <c r="B53" s="149" t="s">
        <v>77</v>
      </c>
      <c r="C53" s="193">
        <v>5000000</v>
      </c>
      <c r="D53" s="98"/>
      <c r="E53" s="99"/>
      <c r="F53" s="100"/>
      <c r="G53" s="129">
        <f t="shared" si="34"/>
        <v>5000000</v>
      </c>
      <c r="H53" s="130">
        <v>0</v>
      </c>
      <c r="I53" s="43">
        <v>0</v>
      </c>
      <c r="J53" s="43">
        <v>5000000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132">
        <f t="shared" si="31"/>
        <v>5000000</v>
      </c>
      <c r="U53" s="116"/>
    </row>
    <row r="54" spans="1:22" x14ac:dyDescent="0.2">
      <c r="A54" s="191" t="s">
        <v>78</v>
      </c>
      <c r="B54" s="148" t="s">
        <v>79</v>
      </c>
      <c r="C54" s="193">
        <v>0</v>
      </c>
      <c r="D54" s="98"/>
      <c r="E54" s="99"/>
      <c r="F54" s="100"/>
      <c r="G54" s="129">
        <f t="shared" si="34"/>
        <v>0</v>
      </c>
      <c r="H54" s="130">
        <v>0</v>
      </c>
      <c r="I54" s="130">
        <v>0</v>
      </c>
      <c r="J54" s="130">
        <v>0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30">
        <v>0</v>
      </c>
      <c r="Q54" s="130">
        <v>0</v>
      </c>
      <c r="R54" s="131">
        <v>0</v>
      </c>
      <c r="S54" s="131">
        <v>0</v>
      </c>
      <c r="T54" s="132">
        <f t="shared" si="31"/>
        <v>0</v>
      </c>
      <c r="U54" s="116"/>
    </row>
    <row r="55" spans="1:22" x14ac:dyDescent="0.2">
      <c r="A55" s="191" t="s">
        <v>80</v>
      </c>
      <c r="B55" s="148" t="s">
        <v>81</v>
      </c>
      <c r="C55" s="193">
        <v>0</v>
      </c>
      <c r="D55" s="98"/>
      <c r="E55" s="99"/>
      <c r="F55" s="100"/>
      <c r="G55" s="129">
        <f t="shared" si="34"/>
        <v>0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  <c r="M55" s="130">
        <v>0</v>
      </c>
      <c r="N55" s="130">
        <v>0</v>
      </c>
      <c r="O55" s="130">
        <v>0</v>
      </c>
      <c r="P55" s="130">
        <v>0</v>
      </c>
      <c r="Q55" s="130">
        <v>0</v>
      </c>
      <c r="R55" s="131">
        <v>0</v>
      </c>
      <c r="S55" s="131">
        <v>0</v>
      </c>
      <c r="T55" s="132">
        <f t="shared" si="31"/>
        <v>0</v>
      </c>
      <c r="U55" s="116"/>
    </row>
    <row r="56" spans="1:22" x14ac:dyDescent="0.2">
      <c r="A56" s="191">
        <v>2020120213</v>
      </c>
      <c r="B56" s="148" t="s">
        <v>83</v>
      </c>
      <c r="C56" s="193">
        <v>0</v>
      </c>
      <c r="D56" s="98"/>
      <c r="E56" s="99"/>
      <c r="F56" s="100"/>
      <c r="G56" s="129">
        <f t="shared" si="34"/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</v>
      </c>
      <c r="P56" s="130">
        <v>0</v>
      </c>
      <c r="Q56" s="130">
        <v>0</v>
      </c>
      <c r="R56" s="131">
        <v>0</v>
      </c>
      <c r="S56" s="131">
        <v>0</v>
      </c>
      <c r="T56" s="132">
        <f t="shared" si="31"/>
        <v>0</v>
      </c>
      <c r="U56" s="116"/>
    </row>
    <row r="57" spans="1:22" x14ac:dyDescent="0.2">
      <c r="A57" s="191" t="s">
        <v>84</v>
      </c>
      <c r="B57" s="148" t="s">
        <v>85</v>
      </c>
      <c r="C57" s="193">
        <v>0</v>
      </c>
      <c r="D57" s="98"/>
      <c r="E57" s="99"/>
      <c r="F57" s="100"/>
      <c r="G57" s="129">
        <f t="shared" si="34"/>
        <v>0</v>
      </c>
      <c r="H57" s="130">
        <v>0</v>
      </c>
      <c r="I57" s="130">
        <v>0</v>
      </c>
      <c r="J57" s="130">
        <v>0</v>
      </c>
      <c r="K57" s="130">
        <v>0</v>
      </c>
      <c r="L57" s="130">
        <v>0</v>
      </c>
      <c r="M57" s="130">
        <v>0</v>
      </c>
      <c r="N57" s="130">
        <v>0</v>
      </c>
      <c r="O57" s="130">
        <v>0</v>
      </c>
      <c r="P57" s="130">
        <v>0</v>
      </c>
      <c r="Q57" s="130">
        <v>0</v>
      </c>
      <c r="R57" s="131">
        <v>0</v>
      </c>
      <c r="S57" s="131">
        <v>0</v>
      </c>
      <c r="T57" s="132">
        <f t="shared" si="31"/>
        <v>0</v>
      </c>
      <c r="U57" s="116"/>
    </row>
    <row r="58" spans="1:22" x14ac:dyDescent="0.2">
      <c r="A58" s="191">
        <v>2020120215</v>
      </c>
      <c r="B58" s="148" t="s">
        <v>118</v>
      </c>
      <c r="C58" s="193">
        <v>950000</v>
      </c>
      <c r="D58" s="98"/>
      <c r="E58" s="101"/>
      <c r="F58" s="100"/>
      <c r="G58" s="129">
        <f t="shared" si="34"/>
        <v>950000</v>
      </c>
      <c r="H58" s="131">
        <v>0</v>
      </c>
      <c r="I58" s="131">
        <v>0</v>
      </c>
      <c r="J58" s="131">
        <v>0</v>
      </c>
      <c r="K58" s="131">
        <v>0</v>
      </c>
      <c r="L58" s="131">
        <v>0</v>
      </c>
      <c r="M58" s="131">
        <v>0</v>
      </c>
      <c r="N58" s="131">
        <v>0</v>
      </c>
      <c r="O58" s="131">
        <v>0</v>
      </c>
      <c r="P58" s="131">
        <v>0</v>
      </c>
      <c r="Q58" s="131">
        <v>0</v>
      </c>
      <c r="R58" s="131">
        <v>950000</v>
      </c>
      <c r="S58" s="131"/>
      <c r="T58" s="132">
        <f t="shared" si="31"/>
        <v>950000</v>
      </c>
      <c r="U58" s="116"/>
    </row>
    <row r="59" spans="1:22" x14ac:dyDescent="0.2">
      <c r="A59" s="205" t="s">
        <v>86</v>
      </c>
      <c r="B59" s="192" t="s">
        <v>155</v>
      </c>
      <c r="C59" s="192">
        <f>SUM(C60:C63)</f>
        <v>83777302.320260897</v>
      </c>
      <c r="D59" s="192">
        <f>SUM(D60:D63)</f>
        <v>0</v>
      </c>
      <c r="E59" s="192">
        <f>SUM(E60:E63)</f>
        <v>0</v>
      </c>
      <c r="F59" s="192">
        <f>SUM(F60:F63)</f>
        <v>0</v>
      </c>
      <c r="G59" s="194">
        <f>ROUND(SUM(G60:G63),0)</f>
        <v>83777302</v>
      </c>
      <c r="H59" s="194">
        <f t="shared" ref="H59:S59" si="51">ROUND(SUM(H60:H63),0)</f>
        <v>5368581</v>
      </c>
      <c r="I59" s="194">
        <f t="shared" si="51"/>
        <v>5368581</v>
      </c>
      <c r="J59" s="194">
        <f t="shared" si="51"/>
        <v>5368581</v>
      </c>
      <c r="K59" s="194">
        <f t="shared" si="51"/>
        <v>5368581</v>
      </c>
      <c r="L59" s="194">
        <f t="shared" si="51"/>
        <v>5368581</v>
      </c>
      <c r="M59" s="194">
        <f t="shared" si="51"/>
        <v>5368581</v>
      </c>
      <c r="N59" s="194">
        <f t="shared" si="51"/>
        <v>5368581</v>
      </c>
      <c r="O59" s="194">
        <f t="shared" si="51"/>
        <v>5368581</v>
      </c>
      <c r="P59" s="194">
        <f t="shared" si="51"/>
        <v>5368581</v>
      </c>
      <c r="Q59" s="194">
        <f t="shared" si="51"/>
        <v>5368581</v>
      </c>
      <c r="R59" s="194">
        <f t="shared" si="51"/>
        <v>5368581</v>
      </c>
      <c r="S59" s="194">
        <f t="shared" si="51"/>
        <v>24722911</v>
      </c>
      <c r="T59" s="194">
        <f>SUM(T60:T63)</f>
        <v>83777302</v>
      </c>
      <c r="U59" s="116"/>
    </row>
    <row r="60" spans="1:22" x14ac:dyDescent="0.2">
      <c r="A60" s="191" t="s">
        <v>88</v>
      </c>
      <c r="B60" s="148" t="s">
        <v>89</v>
      </c>
      <c r="C60" s="190">
        <v>13146617.570005897</v>
      </c>
      <c r="D60" s="98"/>
      <c r="E60" s="99"/>
      <c r="F60" s="100"/>
      <c r="G60" s="129">
        <f t="shared" si="34"/>
        <v>13146617.570005897</v>
      </c>
      <c r="H60" s="130"/>
      <c r="I60" s="42"/>
      <c r="J60" s="42"/>
      <c r="K60" s="42"/>
      <c r="L60" s="42"/>
      <c r="M60" s="42"/>
      <c r="N60" s="42"/>
      <c r="O60" s="131"/>
      <c r="P60" s="131"/>
      <c r="Q60" s="131"/>
      <c r="R60" s="131"/>
      <c r="S60" s="131">
        <v>13146618</v>
      </c>
      <c r="T60" s="132">
        <f t="shared" si="31"/>
        <v>13146618</v>
      </c>
      <c r="U60" s="116"/>
    </row>
    <row r="61" spans="1:22" x14ac:dyDescent="0.2">
      <c r="A61" s="191" t="s">
        <v>90</v>
      </c>
      <c r="B61" s="148" t="s">
        <v>91</v>
      </c>
      <c r="C61" s="190">
        <v>43392204</v>
      </c>
      <c r="D61" s="98"/>
      <c r="E61" s="99"/>
      <c r="F61" s="100"/>
      <c r="G61" s="129">
        <f t="shared" si="34"/>
        <v>43392204</v>
      </c>
      <c r="H61" s="130">
        <f>ROUND(($G$61/12),0)</f>
        <v>3616017</v>
      </c>
      <c r="I61" s="130">
        <f t="shared" ref="I61:R61" si="52">ROUND(($G$61/12),0)</f>
        <v>3616017</v>
      </c>
      <c r="J61" s="130">
        <f t="shared" si="52"/>
        <v>3616017</v>
      </c>
      <c r="K61" s="130">
        <f t="shared" si="52"/>
        <v>3616017</v>
      </c>
      <c r="L61" s="130">
        <f t="shared" si="52"/>
        <v>3616017</v>
      </c>
      <c r="M61" s="130">
        <f t="shared" si="52"/>
        <v>3616017</v>
      </c>
      <c r="N61" s="130">
        <f t="shared" si="52"/>
        <v>3616017</v>
      </c>
      <c r="O61" s="130">
        <f t="shared" si="52"/>
        <v>3616017</v>
      </c>
      <c r="P61" s="130">
        <f t="shared" si="52"/>
        <v>3616017</v>
      </c>
      <c r="Q61" s="130">
        <f t="shared" si="52"/>
        <v>3616017</v>
      </c>
      <c r="R61" s="130">
        <f t="shared" si="52"/>
        <v>3616017</v>
      </c>
      <c r="S61" s="130">
        <f>ROUND(($G$61/12),0)</f>
        <v>3616017</v>
      </c>
      <c r="T61" s="132">
        <f t="shared" si="31"/>
        <v>43392204</v>
      </c>
      <c r="U61" s="116"/>
      <c r="V61" s="116"/>
    </row>
    <row r="62" spans="1:22" x14ac:dyDescent="0.2">
      <c r="A62" s="191">
        <v>2020110304</v>
      </c>
      <c r="B62" s="148" t="s">
        <v>92</v>
      </c>
      <c r="C62" s="190">
        <v>21030768.590477761</v>
      </c>
      <c r="D62" s="98"/>
      <c r="E62" s="99"/>
      <c r="F62" s="100"/>
      <c r="G62" s="129">
        <f t="shared" si="34"/>
        <v>21030768.590477761</v>
      </c>
      <c r="H62" s="130">
        <f>ROUND(($G$62/12),0)</f>
        <v>1752564</v>
      </c>
      <c r="I62" s="130">
        <f t="shared" ref="I62:S62" si="53">ROUND(($G$62/12),0)</f>
        <v>1752564</v>
      </c>
      <c r="J62" s="130">
        <f t="shared" si="53"/>
        <v>1752564</v>
      </c>
      <c r="K62" s="130">
        <f t="shared" si="53"/>
        <v>1752564</v>
      </c>
      <c r="L62" s="130">
        <f t="shared" si="53"/>
        <v>1752564</v>
      </c>
      <c r="M62" s="130">
        <f t="shared" si="53"/>
        <v>1752564</v>
      </c>
      <c r="N62" s="130">
        <f t="shared" si="53"/>
        <v>1752564</v>
      </c>
      <c r="O62" s="130">
        <f t="shared" si="53"/>
        <v>1752564</v>
      </c>
      <c r="P62" s="130">
        <f t="shared" si="53"/>
        <v>1752564</v>
      </c>
      <c r="Q62" s="130">
        <f t="shared" si="53"/>
        <v>1752564</v>
      </c>
      <c r="R62" s="130">
        <f t="shared" si="53"/>
        <v>1752564</v>
      </c>
      <c r="S62" s="130">
        <f t="shared" si="53"/>
        <v>1752564</v>
      </c>
      <c r="T62" s="132">
        <f t="shared" si="31"/>
        <v>21030768</v>
      </c>
      <c r="U62" s="116"/>
    </row>
    <row r="63" spans="1:22" x14ac:dyDescent="0.2">
      <c r="A63" s="191">
        <v>2020110305</v>
      </c>
      <c r="B63" s="148" t="s">
        <v>93</v>
      </c>
      <c r="C63" s="190">
        <v>6207712.159777239</v>
      </c>
      <c r="D63" s="98"/>
      <c r="E63" s="99"/>
      <c r="F63" s="100"/>
      <c r="G63" s="129">
        <f t="shared" si="34"/>
        <v>6207712.159777239</v>
      </c>
      <c r="H63" s="136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131">
        <v>6207712</v>
      </c>
      <c r="T63" s="132">
        <f t="shared" si="31"/>
        <v>6207712</v>
      </c>
      <c r="U63" s="116"/>
    </row>
    <row r="64" spans="1:22" x14ac:dyDescent="0.2">
      <c r="A64" s="205">
        <v>20201104</v>
      </c>
      <c r="B64" s="192" t="s">
        <v>156</v>
      </c>
      <c r="C64" s="192">
        <f>SUM(C65:C74)</f>
        <v>127422616</v>
      </c>
      <c r="D64" s="192">
        <f>SUM(D65:D74)</f>
        <v>0</v>
      </c>
      <c r="E64" s="192">
        <f>SUM(E65:E74)</f>
        <v>0</v>
      </c>
      <c r="F64" s="192">
        <f>SUM(F65:F74)</f>
        <v>0</v>
      </c>
      <c r="G64" s="195">
        <f>SUM(G65:G74)</f>
        <v>127422616</v>
      </c>
      <c r="H64" s="195">
        <f t="shared" ref="H64:S64" si="54">SUM(H65:H74)</f>
        <v>7403191.5999999996</v>
      </c>
      <c r="I64" s="195">
        <f t="shared" si="54"/>
        <v>7403191.5999999996</v>
      </c>
      <c r="J64" s="195">
        <f t="shared" si="54"/>
        <v>7403191.5999999996</v>
      </c>
      <c r="K64" s="195">
        <f t="shared" si="54"/>
        <v>7403191.5999999996</v>
      </c>
      <c r="L64" s="195">
        <f t="shared" si="54"/>
        <v>7403191.5999999996</v>
      </c>
      <c r="M64" s="195">
        <f t="shared" si="54"/>
        <v>7403191.5999999996</v>
      </c>
      <c r="N64" s="195">
        <f t="shared" si="54"/>
        <v>7403191.5999999996</v>
      </c>
      <c r="O64" s="195">
        <f t="shared" si="54"/>
        <v>7403191.5999999996</v>
      </c>
      <c r="P64" s="195">
        <f t="shared" si="54"/>
        <v>7403191.5999999996</v>
      </c>
      <c r="Q64" s="195">
        <f t="shared" si="54"/>
        <v>7403191.5999999996</v>
      </c>
      <c r="R64" s="195">
        <f t="shared" si="54"/>
        <v>7403191.5999999996</v>
      </c>
      <c r="S64" s="195">
        <f t="shared" si="54"/>
        <v>45987508.600000001</v>
      </c>
      <c r="T64" s="195">
        <f>SUM(T65:T74)</f>
        <v>127422616</v>
      </c>
      <c r="U64" s="116"/>
    </row>
    <row r="65" spans="1:21" x14ac:dyDescent="0.2">
      <c r="A65" s="206" t="s">
        <v>95</v>
      </c>
      <c r="B65" s="148" t="s">
        <v>96</v>
      </c>
      <c r="C65" s="190">
        <v>38584317</v>
      </c>
      <c r="D65" s="98"/>
      <c r="E65" s="99"/>
      <c r="F65" s="100"/>
      <c r="G65" s="129">
        <f>ROUND((C65+D65+E65-F65),0)</f>
        <v>38584317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131">
        <v>38584317</v>
      </c>
      <c r="T65" s="132">
        <f>ROUND(SUM(H65:S65),0)</f>
        <v>38584317</v>
      </c>
      <c r="U65" s="116"/>
    </row>
    <row r="66" spans="1:21" x14ac:dyDescent="0.2">
      <c r="A66" s="191" t="s">
        <v>97</v>
      </c>
      <c r="B66" s="148" t="s">
        <v>91</v>
      </c>
      <c r="C66" s="190">
        <v>0</v>
      </c>
      <c r="D66" s="98"/>
      <c r="E66" s="99"/>
      <c r="F66" s="100"/>
      <c r="G66" s="129">
        <f t="shared" ref="G66:G74" si="55">ROUND((C66+D66+E66-F66),0)</f>
        <v>0</v>
      </c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1"/>
      <c r="S66" s="131"/>
      <c r="T66" s="132">
        <f t="shared" ref="T66:T76" si="56">ROUND(SUM(H66:S66),0)</f>
        <v>0</v>
      </c>
      <c r="U66" s="116"/>
    </row>
    <row r="67" spans="1:21" x14ac:dyDescent="0.2">
      <c r="A67" s="191" t="s">
        <v>98</v>
      </c>
      <c r="B67" s="148" t="s">
        <v>99</v>
      </c>
      <c r="C67" s="190">
        <v>2664792</v>
      </c>
      <c r="D67" s="98"/>
      <c r="E67" s="99"/>
      <c r="F67" s="100"/>
      <c r="G67" s="129">
        <f t="shared" si="55"/>
        <v>2664792</v>
      </c>
      <c r="H67" s="130">
        <f>ROUND(($G$67/12),0)</f>
        <v>222066</v>
      </c>
      <c r="I67" s="130">
        <f t="shared" ref="I67:S67" si="57">ROUND(($G$67/12),0)</f>
        <v>222066</v>
      </c>
      <c r="J67" s="130">
        <f t="shared" si="57"/>
        <v>222066</v>
      </c>
      <c r="K67" s="130">
        <f t="shared" si="57"/>
        <v>222066</v>
      </c>
      <c r="L67" s="130">
        <f t="shared" si="57"/>
        <v>222066</v>
      </c>
      <c r="M67" s="130">
        <f t="shared" si="57"/>
        <v>222066</v>
      </c>
      <c r="N67" s="130">
        <f t="shared" si="57"/>
        <v>222066</v>
      </c>
      <c r="O67" s="130">
        <f t="shared" si="57"/>
        <v>222066</v>
      </c>
      <c r="P67" s="130">
        <f t="shared" si="57"/>
        <v>222066</v>
      </c>
      <c r="Q67" s="130">
        <f t="shared" si="57"/>
        <v>222066</v>
      </c>
      <c r="R67" s="130">
        <f t="shared" si="57"/>
        <v>222066</v>
      </c>
      <c r="S67" s="130">
        <f t="shared" si="57"/>
        <v>222066</v>
      </c>
      <c r="T67" s="132">
        <f t="shared" si="56"/>
        <v>2664792</v>
      </c>
      <c r="U67" s="116"/>
    </row>
    <row r="68" spans="1:21" x14ac:dyDescent="0.2">
      <c r="A68" s="191" t="s">
        <v>100</v>
      </c>
      <c r="B68" s="148" t="s">
        <v>92</v>
      </c>
      <c r="C68" s="190">
        <v>40228819</v>
      </c>
      <c r="D68" s="98"/>
      <c r="E68" s="99"/>
      <c r="F68" s="100"/>
      <c r="G68" s="129">
        <f t="shared" si="55"/>
        <v>40228819</v>
      </c>
      <c r="H68" s="130">
        <f>ROUND(($G$68/12),1)</f>
        <v>3352401.6</v>
      </c>
      <c r="I68" s="130">
        <f t="shared" ref="I68:S68" si="58">ROUND(($G$68/12),1)</f>
        <v>3352401.6</v>
      </c>
      <c r="J68" s="130">
        <f t="shared" si="58"/>
        <v>3352401.6</v>
      </c>
      <c r="K68" s="130">
        <f t="shared" si="58"/>
        <v>3352401.6</v>
      </c>
      <c r="L68" s="130">
        <f t="shared" si="58"/>
        <v>3352401.6</v>
      </c>
      <c r="M68" s="130">
        <f t="shared" si="58"/>
        <v>3352401.6</v>
      </c>
      <c r="N68" s="130">
        <f t="shared" si="58"/>
        <v>3352401.6</v>
      </c>
      <c r="O68" s="130">
        <f t="shared" si="58"/>
        <v>3352401.6</v>
      </c>
      <c r="P68" s="130">
        <f t="shared" si="58"/>
        <v>3352401.6</v>
      </c>
      <c r="Q68" s="130">
        <f t="shared" si="58"/>
        <v>3352401.6</v>
      </c>
      <c r="R68" s="130">
        <f t="shared" si="58"/>
        <v>3352401.6</v>
      </c>
      <c r="S68" s="130">
        <f t="shared" si="58"/>
        <v>3352401.6</v>
      </c>
      <c r="T68" s="132">
        <f t="shared" si="56"/>
        <v>40228819</v>
      </c>
      <c r="U68" s="116"/>
    </row>
    <row r="69" spans="1:21" x14ac:dyDescent="0.2">
      <c r="A69" s="191" t="s">
        <v>101</v>
      </c>
      <c r="B69" s="148" t="s">
        <v>102</v>
      </c>
      <c r="C69" s="190">
        <v>20419860</v>
      </c>
      <c r="D69" s="98"/>
      <c r="E69" s="99"/>
      <c r="F69" s="100"/>
      <c r="G69" s="129">
        <f t="shared" si="55"/>
        <v>20419860</v>
      </c>
      <c r="H69" s="130">
        <f>ROUND(($G$69/12),0)</f>
        <v>1701655</v>
      </c>
      <c r="I69" s="130">
        <f t="shared" ref="I69:S69" si="59">ROUND(($G$69/12),0)</f>
        <v>1701655</v>
      </c>
      <c r="J69" s="130">
        <f t="shared" si="59"/>
        <v>1701655</v>
      </c>
      <c r="K69" s="130">
        <f t="shared" si="59"/>
        <v>1701655</v>
      </c>
      <c r="L69" s="130">
        <f t="shared" si="59"/>
        <v>1701655</v>
      </c>
      <c r="M69" s="130">
        <f t="shared" si="59"/>
        <v>1701655</v>
      </c>
      <c r="N69" s="130">
        <f t="shared" si="59"/>
        <v>1701655</v>
      </c>
      <c r="O69" s="130">
        <f t="shared" si="59"/>
        <v>1701655</v>
      </c>
      <c r="P69" s="130">
        <f t="shared" si="59"/>
        <v>1701655</v>
      </c>
      <c r="Q69" s="130">
        <f t="shared" si="59"/>
        <v>1701655</v>
      </c>
      <c r="R69" s="130">
        <f t="shared" si="59"/>
        <v>1701655</v>
      </c>
      <c r="S69" s="130">
        <f t="shared" si="59"/>
        <v>1701655</v>
      </c>
      <c r="T69" s="132">
        <f t="shared" si="56"/>
        <v>20419860</v>
      </c>
      <c r="U69" s="116"/>
    </row>
    <row r="70" spans="1:21" x14ac:dyDescent="0.2">
      <c r="A70" s="191" t="s">
        <v>103</v>
      </c>
      <c r="B70" s="148" t="s">
        <v>104</v>
      </c>
      <c r="C70" s="190">
        <v>15314892</v>
      </c>
      <c r="D70" s="98"/>
      <c r="E70" s="99"/>
      <c r="F70" s="100"/>
      <c r="G70" s="129">
        <f t="shared" si="55"/>
        <v>15314892</v>
      </c>
      <c r="H70" s="130">
        <f>ROUND(($G$70/12),0)</f>
        <v>1276241</v>
      </c>
      <c r="I70" s="130">
        <f t="shared" ref="I70:S70" si="60">ROUND(($G$70/12),0)</f>
        <v>1276241</v>
      </c>
      <c r="J70" s="130">
        <f t="shared" si="60"/>
        <v>1276241</v>
      </c>
      <c r="K70" s="130">
        <f t="shared" si="60"/>
        <v>1276241</v>
      </c>
      <c r="L70" s="130">
        <f t="shared" si="60"/>
        <v>1276241</v>
      </c>
      <c r="M70" s="130">
        <f t="shared" si="60"/>
        <v>1276241</v>
      </c>
      <c r="N70" s="130">
        <f t="shared" si="60"/>
        <v>1276241</v>
      </c>
      <c r="O70" s="130">
        <f t="shared" si="60"/>
        <v>1276241</v>
      </c>
      <c r="P70" s="130">
        <f t="shared" si="60"/>
        <v>1276241</v>
      </c>
      <c r="Q70" s="130">
        <f t="shared" si="60"/>
        <v>1276241</v>
      </c>
      <c r="R70" s="130">
        <f t="shared" si="60"/>
        <v>1276241</v>
      </c>
      <c r="S70" s="130">
        <f t="shared" si="60"/>
        <v>1276241</v>
      </c>
      <c r="T70" s="132">
        <f t="shared" si="56"/>
        <v>15314892</v>
      </c>
      <c r="U70" s="116"/>
    </row>
    <row r="71" spans="1:21" x14ac:dyDescent="0.2">
      <c r="A71" s="191" t="s">
        <v>105</v>
      </c>
      <c r="B71" s="148" t="s">
        <v>106</v>
      </c>
      <c r="C71" s="190">
        <v>2552484</v>
      </c>
      <c r="D71" s="98"/>
      <c r="E71" s="99"/>
      <c r="F71" s="100"/>
      <c r="G71" s="129">
        <f t="shared" si="55"/>
        <v>2552484</v>
      </c>
      <c r="H71" s="130">
        <f>ROUND(($G$71/12),0)</f>
        <v>212707</v>
      </c>
      <c r="I71" s="130">
        <f t="shared" ref="I71:S71" si="61">ROUND(($G$71/12),0)</f>
        <v>212707</v>
      </c>
      <c r="J71" s="130">
        <f t="shared" si="61"/>
        <v>212707</v>
      </c>
      <c r="K71" s="130">
        <f t="shared" si="61"/>
        <v>212707</v>
      </c>
      <c r="L71" s="130">
        <f t="shared" si="61"/>
        <v>212707</v>
      </c>
      <c r="M71" s="130">
        <f t="shared" si="61"/>
        <v>212707</v>
      </c>
      <c r="N71" s="130">
        <f t="shared" si="61"/>
        <v>212707</v>
      </c>
      <c r="O71" s="130">
        <f t="shared" si="61"/>
        <v>212707</v>
      </c>
      <c r="P71" s="130">
        <f t="shared" si="61"/>
        <v>212707</v>
      </c>
      <c r="Q71" s="130">
        <f t="shared" si="61"/>
        <v>212707</v>
      </c>
      <c r="R71" s="130">
        <f t="shared" si="61"/>
        <v>212707</v>
      </c>
      <c r="S71" s="130">
        <f t="shared" si="61"/>
        <v>212707</v>
      </c>
      <c r="T71" s="132">
        <f t="shared" si="56"/>
        <v>2552484</v>
      </c>
      <c r="U71" s="116"/>
    </row>
    <row r="72" spans="1:21" x14ac:dyDescent="0.2">
      <c r="A72" s="191" t="s">
        <v>107</v>
      </c>
      <c r="B72" s="148" t="s">
        <v>108</v>
      </c>
      <c r="C72" s="190">
        <v>2552484</v>
      </c>
      <c r="D72" s="98"/>
      <c r="E72" s="99"/>
      <c r="F72" s="100"/>
      <c r="G72" s="129">
        <f t="shared" si="55"/>
        <v>2552484</v>
      </c>
      <c r="H72" s="130">
        <f>ROUND(($G$72/12),0)</f>
        <v>212707</v>
      </c>
      <c r="I72" s="130">
        <f t="shared" ref="I72:S72" si="62">ROUND(($G$72/12),0)</f>
        <v>212707</v>
      </c>
      <c r="J72" s="130">
        <f t="shared" si="62"/>
        <v>212707</v>
      </c>
      <c r="K72" s="130">
        <f t="shared" si="62"/>
        <v>212707</v>
      </c>
      <c r="L72" s="130">
        <f t="shared" si="62"/>
        <v>212707</v>
      </c>
      <c r="M72" s="130">
        <f t="shared" si="62"/>
        <v>212707</v>
      </c>
      <c r="N72" s="130">
        <f t="shared" si="62"/>
        <v>212707</v>
      </c>
      <c r="O72" s="130">
        <f t="shared" si="62"/>
        <v>212707</v>
      </c>
      <c r="P72" s="130">
        <f t="shared" si="62"/>
        <v>212707</v>
      </c>
      <c r="Q72" s="130">
        <f t="shared" si="62"/>
        <v>212707</v>
      </c>
      <c r="R72" s="130">
        <f t="shared" si="62"/>
        <v>212707</v>
      </c>
      <c r="S72" s="130">
        <f t="shared" si="62"/>
        <v>212707</v>
      </c>
      <c r="T72" s="132">
        <f t="shared" si="56"/>
        <v>2552484</v>
      </c>
      <c r="U72" s="116"/>
    </row>
    <row r="73" spans="1:21" x14ac:dyDescent="0.2">
      <c r="A73" s="191" t="s">
        <v>109</v>
      </c>
      <c r="B73" s="148" t="s">
        <v>110</v>
      </c>
      <c r="C73" s="190">
        <v>5104968</v>
      </c>
      <c r="D73" s="98"/>
      <c r="E73" s="99"/>
      <c r="F73" s="100"/>
      <c r="G73" s="129">
        <f t="shared" si="55"/>
        <v>5104968</v>
      </c>
      <c r="H73" s="130">
        <f>ROUND(($G$73/12),0)</f>
        <v>425414</v>
      </c>
      <c r="I73" s="130">
        <f t="shared" ref="I73:S73" si="63">ROUND(($G$73/12),0)</f>
        <v>425414</v>
      </c>
      <c r="J73" s="130">
        <f t="shared" si="63"/>
        <v>425414</v>
      </c>
      <c r="K73" s="130">
        <f t="shared" si="63"/>
        <v>425414</v>
      </c>
      <c r="L73" s="130">
        <f t="shared" si="63"/>
        <v>425414</v>
      </c>
      <c r="M73" s="130">
        <f t="shared" si="63"/>
        <v>425414</v>
      </c>
      <c r="N73" s="130">
        <f t="shared" si="63"/>
        <v>425414</v>
      </c>
      <c r="O73" s="130">
        <f t="shared" si="63"/>
        <v>425414</v>
      </c>
      <c r="P73" s="130">
        <f t="shared" si="63"/>
        <v>425414</v>
      </c>
      <c r="Q73" s="130">
        <f t="shared" si="63"/>
        <v>425414</v>
      </c>
      <c r="R73" s="130">
        <f t="shared" si="63"/>
        <v>425414</v>
      </c>
      <c r="S73" s="130">
        <f t="shared" si="63"/>
        <v>425414</v>
      </c>
      <c r="T73" s="132">
        <f t="shared" si="56"/>
        <v>5104968</v>
      </c>
      <c r="U73" s="116"/>
    </row>
    <row r="74" spans="1:21" x14ac:dyDescent="0.2">
      <c r="A74" s="191" t="s">
        <v>111</v>
      </c>
      <c r="B74" s="148" t="s">
        <v>112</v>
      </c>
      <c r="C74" s="193">
        <v>0</v>
      </c>
      <c r="D74" s="98">
        <v>0</v>
      </c>
      <c r="E74" s="99">
        <v>0</v>
      </c>
      <c r="F74" s="100">
        <v>0</v>
      </c>
      <c r="G74" s="129">
        <f t="shared" si="55"/>
        <v>0</v>
      </c>
      <c r="H74" s="130"/>
      <c r="I74" s="130"/>
      <c r="J74" s="130">
        <v>0</v>
      </c>
      <c r="K74" s="130">
        <v>0</v>
      </c>
      <c r="L74" s="130">
        <v>0</v>
      </c>
      <c r="M74" s="130">
        <v>0</v>
      </c>
      <c r="N74" s="130"/>
      <c r="O74" s="130">
        <v>0</v>
      </c>
      <c r="P74" s="130">
        <v>0</v>
      </c>
      <c r="Q74" s="131">
        <f t="shared" ref="Q74:R74" si="64">ROUND($G$74/12,-1)</f>
        <v>0</v>
      </c>
      <c r="R74" s="131">
        <f t="shared" si="64"/>
        <v>0</v>
      </c>
      <c r="S74" s="131">
        <f t="shared" ref="S74" si="65">G74-SUM(H74:R74)</f>
        <v>0</v>
      </c>
      <c r="T74" s="132">
        <f t="shared" si="56"/>
        <v>0</v>
      </c>
    </row>
    <row r="75" spans="1:21" x14ac:dyDescent="0.2">
      <c r="A75" s="205">
        <v>20201301</v>
      </c>
      <c r="B75" s="192" t="s">
        <v>116</v>
      </c>
      <c r="C75" s="194">
        <f>C76</f>
        <v>0</v>
      </c>
      <c r="D75" s="192">
        <f>D76</f>
        <v>0</v>
      </c>
      <c r="E75" s="192">
        <f t="shared" ref="E75:F75" si="66">E76</f>
        <v>0</v>
      </c>
      <c r="F75" s="192">
        <f t="shared" si="66"/>
        <v>0</v>
      </c>
      <c r="G75" s="192">
        <f t="shared" ref="G75" si="67">G76</f>
        <v>0</v>
      </c>
      <c r="H75" s="192">
        <f t="shared" ref="H75" si="68">H76</f>
        <v>0</v>
      </c>
      <c r="I75" s="192">
        <f t="shared" ref="I75" si="69">I76</f>
        <v>0</v>
      </c>
      <c r="J75" s="192">
        <f t="shared" ref="J75" si="70">J76</f>
        <v>0</v>
      </c>
      <c r="K75" s="192">
        <f t="shared" ref="K75" si="71">K76</f>
        <v>0</v>
      </c>
      <c r="L75" s="192">
        <f t="shared" ref="L75:M75" si="72">L76</f>
        <v>0</v>
      </c>
      <c r="M75" s="192">
        <f t="shared" si="72"/>
        <v>0</v>
      </c>
      <c r="N75" s="192">
        <f t="shared" ref="N75" si="73">N76</f>
        <v>0</v>
      </c>
      <c r="O75" s="192">
        <f t="shared" ref="O75" si="74">O76</f>
        <v>0</v>
      </c>
      <c r="P75" s="192">
        <f t="shared" ref="P75" si="75">P76</f>
        <v>0</v>
      </c>
      <c r="Q75" s="192">
        <f t="shared" ref="Q75" si="76">Q76</f>
        <v>0</v>
      </c>
      <c r="R75" s="192">
        <f t="shared" ref="R75" si="77">R76</f>
        <v>0</v>
      </c>
      <c r="S75" s="192">
        <f t="shared" ref="S75" si="78">S76</f>
        <v>0</v>
      </c>
      <c r="T75" s="192">
        <f t="shared" ref="T75" si="79">T76</f>
        <v>0</v>
      </c>
    </row>
    <row r="76" spans="1:21" ht="13.5" thickBot="1" x14ac:dyDescent="0.25">
      <c r="A76" s="196">
        <v>2020130101</v>
      </c>
      <c r="B76" s="150" t="s">
        <v>165</v>
      </c>
      <c r="C76" s="132">
        <v>0</v>
      </c>
      <c r="D76" s="98"/>
      <c r="E76" s="99"/>
      <c r="F76" s="100"/>
      <c r="G76" s="198">
        <f t="shared" si="34"/>
        <v>0</v>
      </c>
      <c r="H76" s="199">
        <v>0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/>
      <c r="O76" s="199">
        <v>0</v>
      </c>
      <c r="P76" s="199"/>
      <c r="Q76" s="199"/>
      <c r="R76" s="199"/>
      <c r="S76" s="199">
        <v>0</v>
      </c>
      <c r="T76" s="132">
        <f t="shared" si="56"/>
        <v>0</v>
      </c>
    </row>
    <row r="77" spans="1:21" x14ac:dyDescent="0.2">
      <c r="A77" s="192"/>
      <c r="B77" s="192" t="s">
        <v>157</v>
      </c>
      <c r="C77" s="195">
        <f>C64+C59+C43+C38+C33+C23+C75</f>
        <v>973593066.23348069</v>
      </c>
      <c r="D77" s="192">
        <f>D64+D59+D43+D38+D33+D23+D75</f>
        <v>0</v>
      </c>
      <c r="E77" s="192">
        <f t="shared" ref="E77:R77" si="80">E64+E59+E43+E38+E33+E23</f>
        <v>0</v>
      </c>
      <c r="F77" s="192">
        <f t="shared" si="80"/>
        <v>0</v>
      </c>
      <c r="G77" s="195">
        <f>G64+G59+G43+G38+G33+G23+G75</f>
        <v>973593065.89999986</v>
      </c>
      <c r="H77" s="195">
        <f t="shared" si="80"/>
        <v>73261469.200000003</v>
      </c>
      <c r="I77" s="195">
        <f t="shared" si="80"/>
        <v>84740095.150000006</v>
      </c>
      <c r="J77" s="195">
        <f t="shared" si="80"/>
        <v>75911476.150000006</v>
      </c>
      <c r="K77" s="195">
        <f t="shared" si="80"/>
        <v>69324738.150000006</v>
      </c>
      <c r="L77" s="195">
        <f t="shared" si="80"/>
        <v>68249396.950000003</v>
      </c>
      <c r="M77" s="195">
        <f t="shared" si="80"/>
        <v>110189232.94999999</v>
      </c>
      <c r="N77" s="195">
        <f t="shared" si="80"/>
        <v>74455519.950000003</v>
      </c>
      <c r="O77" s="195">
        <f t="shared" si="80"/>
        <v>68274958.950000003</v>
      </c>
      <c r="P77" s="195">
        <f>P64+P59+P43+P38+P33+P23+P75</f>
        <v>60811475.950000003</v>
      </c>
      <c r="Q77" s="195">
        <f t="shared" si="80"/>
        <v>60411475.950000003</v>
      </c>
      <c r="R77" s="195">
        <f t="shared" si="80"/>
        <v>61361475.950000003</v>
      </c>
      <c r="S77" s="195">
        <f>S23+S33+S38+S43+S59+S64+S75</f>
        <v>166601754.94999999</v>
      </c>
      <c r="T77" s="195">
        <f>T75+T64+T59+T43+T38+T33+T23</f>
        <v>973593066.45000017</v>
      </c>
    </row>
    <row r="78" spans="1:21" x14ac:dyDescent="0.2">
      <c r="B78" s="106"/>
      <c r="C78" s="107"/>
      <c r="D78" s="108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9"/>
    </row>
    <row r="79" spans="1:21" x14ac:dyDescent="0.2">
      <c r="B79" s="106"/>
      <c r="C79" s="107"/>
      <c r="D79" s="106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9"/>
    </row>
    <row r="80" spans="1:21" x14ac:dyDescent="0.2">
      <c r="B80" s="106"/>
      <c r="C80" s="102"/>
      <c r="D80" s="106"/>
      <c r="E80" s="102"/>
      <c r="F80" s="102"/>
      <c r="G80" s="118" t="s">
        <v>160</v>
      </c>
      <c r="H80" s="102"/>
      <c r="I80" s="102"/>
      <c r="J80" s="102"/>
      <c r="K80" s="102"/>
      <c r="L80" s="102"/>
      <c r="M80" s="102"/>
      <c r="N80" s="102"/>
      <c r="O80" s="102"/>
      <c r="P80" s="118" t="s">
        <v>158</v>
      </c>
      <c r="Q80" s="102"/>
      <c r="R80" s="102"/>
      <c r="S80" s="102"/>
      <c r="T80" s="137"/>
    </row>
    <row r="81" spans="2:20" x14ac:dyDescent="0.2">
      <c r="B81" s="106"/>
      <c r="C81" s="197"/>
      <c r="D81" s="106"/>
      <c r="E81" s="102"/>
      <c r="F81" s="138" t="s">
        <v>164</v>
      </c>
      <c r="G81" s="118"/>
      <c r="H81" s="102"/>
      <c r="I81" s="102"/>
      <c r="J81" s="102"/>
      <c r="K81" s="102"/>
      <c r="L81" s="102"/>
      <c r="M81" s="102"/>
      <c r="N81" s="102"/>
      <c r="O81" s="102"/>
      <c r="P81" s="102" t="s">
        <v>159</v>
      </c>
      <c r="Q81" s="118"/>
      <c r="R81" s="102"/>
      <c r="S81" s="102"/>
      <c r="T81" s="137"/>
    </row>
    <row r="82" spans="2:20" ht="13.5" thickBot="1" x14ac:dyDescent="0.25">
      <c r="B82" s="119"/>
      <c r="C82" s="139"/>
      <c r="D82" s="119"/>
      <c r="E82" s="139"/>
      <c r="F82" s="140"/>
      <c r="G82" s="140"/>
      <c r="H82" s="139"/>
      <c r="I82" s="139"/>
      <c r="J82" s="139"/>
      <c r="K82" s="139"/>
      <c r="L82" s="139"/>
      <c r="M82" s="139"/>
      <c r="N82" s="139"/>
      <c r="O82" s="139"/>
      <c r="P82" s="141"/>
      <c r="Q82" s="139"/>
      <c r="R82" s="139"/>
      <c r="S82" s="139"/>
      <c r="T82" s="142"/>
    </row>
    <row r="86" spans="2:20" x14ac:dyDescent="0.2">
      <c r="G86" s="116"/>
    </row>
    <row r="88" spans="2:20" x14ac:dyDescent="0.2">
      <c r="G88" s="116"/>
    </row>
    <row r="91" spans="2:20" x14ac:dyDescent="0.2">
      <c r="G91" s="116"/>
    </row>
  </sheetData>
  <mergeCells count="3">
    <mergeCell ref="B2:T2"/>
    <mergeCell ref="B3:T3"/>
    <mergeCell ref="B4:T4"/>
  </mergeCells>
  <printOptions horizontalCentered="1" verticalCentered="1"/>
  <pageMargins left="0.19685039370078741" right="0.31496062992125984" top="0.15748031496062992" bottom="0.59055118110236227" header="0" footer="0.39370078740157483"/>
  <pageSetup paperSize="14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4"/>
  <sheetViews>
    <sheetView zoomScaleNormal="100" zoomScaleSheetLayoutView="30" workbookViewId="0">
      <pane ySplit="1" topLeftCell="A341" activePane="bottomLeft" state="frozen"/>
      <selection pane="bottomLeft" activeCell="B363" sqref="B363"/>
    </sheetView>
  </sheetViews>
  <sheetFormatPr baseColWidth="10" defaultRowHeight="12.75" x14ac:dyDescent="0.2"/>
  <cols>
    <col min="1" max="1" width="2.75" style="103" customWidth="1"/>
    <col min="2" max="2" width="11" style="103"/>
    <col min="3" max="3" width="12.625" style="201" customWidth="1"/>
    <col min="4" max="4" width="36.125" style="103" customWidth="1"/>
    <col min="5" max="5" width="19" style="103" customWidth="1"/>
    <col min="6" max="6" width="16.375" style="103" bestFit="1" customWidth="1"/>
    <col min="7" max="8" width="14.875" style="103" bestFit="1" customWidth="1"/>
    <col min="9" max="9" width="18.375" style="103" bestFit="1" customWidth="1"/>
    <col min="10" max="10" width="21.875" style="103" customWidth="1"/>
    <col min="11" max="11" width="16.375" style="103" bestFit="1" customWidth="1"/>
    <col min="12" max="246" width="11" style="103"/>
    <col min="247" max="247" width="51" style="103" customWidth="1"/>
    <col min="248" max="248" width="19" style="103" customWidth="1"/>
    <col min="249" max="249" width="15.375" style="103" customWidth="1"/>
    <col min="250" max="250" width="14.5" style="103" customWidth="1"/>
    <col min="251" max="251" width="19.75" style="103" customWidth="1"/>
    <col min="252" max="252" width="20.5" style="103" customWidth="1"/>
    <col min="253" max="253" width="15.25" style="103" customWidth="1"/>
    <col min="254" max="254" width="15.625" style="103" customWidth="1"/>
    <col min="255" max="255" width="15.625" style="103" bestFit="1" customWidth="1"/>
    <col min="256" max="256" width="14.875" style="103" customWidth="1"/>
    <col min="257" max="257" width="15.625" style="103" bestFit="1" customWidth="1"/>
    <col min="258" max="258" width="15" style="103" customWidth="1"/>
    <col min="259" max="259" width="15.625" style="103" bestFit="1" customWidth="1"/>
    <col min="260" max="260" width="15.875" style="103" customWidth="1"/>
    <col min="261" max="261" width="16.25" style="103" customWidth="1"/>
    <col min="262" max="262" width="16.75" style="103" customWidth="1"/>
    <col min="263" max="263" width="14.875" style="103" customWidth="1"/>
    <col min="264" max="264" width="19.625" style="103" bestFit="1" customWidth="1"/>
    <col min="265" max="265" width="21.875" style="103" customWidth="1"/>
    <col min="266" max="502" width="11" style="103"/>
    <col min="503" max="503" width="51" style="103" customWidth="1"/>
    <col min="504" max="504" width="19" style="103" customWidth="1"/>
    <col min="505" max="505" width="15.375" style="103" customWidth="1"/>
    <col min="506" max="506" width="14.5" style="103" customWidth="1"/>
    <col min="507" max="507" width="19.75" style="103" customWidth="1"/>
    <col min="508" max="508" width="20.5" style="103" customWidth="1"/>
    <col min="509" max="509" width="15.25" style="103" customWidth="1"/>
    <col min="510" max="510" width="15.625" style="103" customWidth="1"/>
    <col min="511" max="511" width="15.625" style="103" bestFit="1" customWidth="1"/>
    <col min="512" max="512" width="14.875" style="103" customWidth="1"/>
    <col min="513" max="513" width="15.625" style="103" bestFit="1" customWidth="1"/>
    <col min="514" max="514" width="15" style="103" customWidth="1"/>
    <col min="515" max="515" width="15.625" style="103" bestFit="1" customWidth="1"/>
    <col min="516" max="516" width="15.875" style="103" customWidth="1"/>
    <col min="517" max="517" width="16.25" style="103" customWidth="1"/>
    <col min="518" max="518" width="16.75" style="103" customWidth="1"/>
    <col min="519" max="519" width="14.875" style="103" customWidth="1"/>
    <col min="520" max="520" width="19.625" style="103" bestFit="1" customWidth="1"/>
    <col min="521" max="521" width="21.875" style="103" customWidth="1"/>
    <col min="522" max="758" width="11" style="103"/>
    <col min="759" max="759" width="51" style="103" customWidth="1"/>
    <col min="760" max="760" width="19" style="103" customWidth="1"/>
    <col min="761" max="761" width="15.375" style="103" customWidth="1"/>
    <col min="762" max="762" width="14.5" style="103" customWidth="1"/>
    <col min="763" max="763" width="19.75" style="103" customWidth="1"/>
    <col min="764" max="764" width="20.5" style="103" customWidth="1"/>
    <col min="765" max="765" width="15.25" style="103" customWidth="1"/>
    <col min="766" max="766" width="15.625" style="103" customWidth="1"/>
    <col min="767" max="767" width="15.625" style="103" bestFit="1" customWidth="1"/>
    <col min="768" max="768" width="14.875" style="103" customWidth="1"/>
    <col min="769" max="769" width="15.625" style="103" bestFit="1" customWidth="1"/>
    <col min="770" max="770" width="15" style="103" customWidth="1"/>
    <col min="771" max="771" width="15.625" style="103" bestFit="1" customWidth="1"/>
    <col min="772" max="772" width="15.875" style="103" customWidth="1"/>
    <col min="773" max="773" width="16.25" style="103" customWidth="1"/>
    <col min="774" max="774" width="16.75" style="103" customWidth="1"/>
    <col min="775" max="775" width="14.875" style="103" customWidth="1"/>
    <col min="776" max="776" width="19.625" style="103" bestFit="1" customWidth="1"/>
    <col min="777" max="777" width="21.875" style="103" customWidth="1"/>
    <col min="778" max="1014" width="11" style="103"/>
    <col min="1015" max="1015" width="51" style="103" customWidth="1"/>
    <col min="1016" max="1016" width="19" style="103" customWidth="1"/>
    <col min="1017" max="1017" width="15.375" style="103" customWidth="1"/>
    <col min="1018" max="1018" width="14.5" style="103" customWidth="1"/>
    <col min="1019" max="1019" width="19.75" style="103" customWidth="1"/>
    <col min="1020" max="1020" width="20.5" style="103" customWidth="1"/>
    <col min="1021" max="1021" width="15.25" style="103" customWidth="1"/>
    <col min="1022" max="1022" width="15.625" style="103" customWidth="1"/>
    <col min="1023" max="1023" width="15.625" style="103" bestFit="1" customWidth="1"/>
    <col min="1024" max="1024" width="14.875" style="103" customWidth="1"/>
    <col min="1025" max="1025" width="15.625" style="103" bestFit="1" customWidth="1"/>
    <col min="1026" max="1026" width="15" style="103" customWidth="1"/>
    <col min="1027" max="1027" width="15.625" style="103" bestFit="1" customWidth="1"/>
    <col min="1028" max="1028" width="15.875" style="103" customWidth="1"/>
    <col min="1029" max="1029" width="16.25" style="103" customWidth="1"/>
    <col min="1030" max="1030" width="16.75" style="103" customWidth="1"/>
    <col min="1031" max="1031" width="14.875" style="103" customWidth="1"/>
    <col min="1032" max="1032" width="19.625" style="103" bestFit="1" customWidth="1"/>
    <col min="1033" max="1033" width="21.875" style="103" customWidth="1"/>
    <col min="1034" max="1270" width="11" style="103"/>
    <col min="1271" max="1271" width="51" style="103" customWidth="1"/>
    <col min="1272" max="1272" width="19" style="103" customWidth="1"/>
    <col min="1273" max="1273" width="15.375" style="103" customWidth="1"/>
    <col min="1274" max="1274" width="14.5" style="103" customWidth="1"/>
    <col min="1275" max="1275" width="19.75" style="103" customWidth="1"/>
    <col min="1276" max="1276" width="20.5" style="103" customWidth="1"/>
    <col min="1277" max="1277" width="15.25" style="103" customWidth="1"/>
    <col min="1278" max="1278" width="15.625" style="103" customWidth="1"/>
    <col min="1279" max="1279" width="15.625" style="103" bestFit="1" customWidth="1"/>
    <col min="1280" max="1280" width="14.875" style="103" customWidth="1"/>
    <col min="1281" max="1281" width="15.625" style="103" bestFit="1" customWidth="1"/>
    <col min="1282" max="1282" width="15" style="103" customWidth="1"/>
    <col min="1283" max="1283" width="15.625" style="103" bestFit="1" customWidth="1"/>
    <col min="1284" max="1284" width="15.875" style="103" customWidth="1"/>
    <col min="1285" max="1285" width="16.25" style="103" customWidth="1"/>
    <col min="1286" max="1286" width="16.75" style="103" customWidth="1"/>
    <col min="1287" max="1287" width="14.875" style="103" customWidth="1"/>
    <col min="1288" max="1288" width="19.625" style="103" bestFit="1" customWidth="1"/>
    <col min="1289" max="1289" width="21.875" style="103" customWidth="1"/>
    <col min="1290" max="1526" width="11" style="103"/>
    <col min="1527" max="1527" width="51" style="103" customWidth="1"/>
    <col min="1528" max="1528" width="19" style="103" customWidth="1"/>
    <col min="1529" max="1529" width="15.375" style="103" customWidth="1"/>
    <col min="1530" max="1530" width="14.5" style="103" customWidth="1"/>
    <col min="1531" max="1531" width="19.75" style="103" customWidth="1"/>
    <col min="1532" max="1532" width="20.5" style="103" customWidth="1"/>
    <col min="1533" max="1533" width="15.25" style="103" customWidth="1"/>
    <col min="1534" max="1534" width="15.625" style="103" customWidth="1"/>
    <col min="1535" max="1535" width="15.625" style="103" bestFit="1" customWidth="1"/>
    <col min="1536" max="1536" width="14.875" style="103" customWidth="1"/>
    <col min="1537" max="1537" width="15.625" style="103" bestFit="1" customWidth="1"/>
    <col min="1538" max="1538" width="15" style="103" customWidth="1"/>
    <col min="1539" max="1539" width="15.625" style="103" bestFit="1" customWidth="1"/>
    <col min="1540" max="1540" width="15.875" style="103" customWidth="1"/>
    <col min="1541" max="1541" width="16.25" style="103" customWidth="1"/>
    <col min="1542" max="1542" width="16.75" style="103" customWidth="1"/>
    <col min="1543" max="1543" width="14.875" style="103" customWidth="1"/>
    <col min="1544" max="1544" width="19.625" style="103" bestFit="1" customWidth="1"/>
    <col min="1545" max="1545" width="21.875" style="103" customWidth="1"/>
    <col min="1546" max="1782" width="11" style="103"/>
    <col min="1783" max="1783" width="51" style="103" customWidth="1"/>
    <col min="1784" max="1784" width="19" style="103" customWidth="1"/>
    <col min="1785" max="1785" width="15.375" style="103" customWidth="1"/>
    <col min="1786" max="1786" width="14.5" style="103" customWidth="1"/>
    <col min="1787" max="1787" width="19.75" style="103" customWidth="1"/>
    <col min="1788" max="1788" width="20.5" style="103" customWidth="1"/>
    <col min="1789" max="1789" width="15.25" style="103" customWidth="1"/>
    <col min="1790" max="1790" width="15.625" style="103" customWidth="1"/>
    <col min="1791" max="1791" width="15.625" style="103" bestFit="1" customWidth="1"/>
    <col min="1792" max="1792" width="14.875" style="103" customWidth="1"/>
    <col min="1793" max="1793" width="15.625" style="103" bestFit="1" customWidth="1"/>
    <col min="1794" max="1794" width="15" style="103" customWidth="1"/>
    <col min="1795" max="1795" width="15.625" style="103" bestFit="1" customWidth="1"/>
    <col min="1796" max="1796" width="15.875" style="103" customWidth="1"/>
    <col min="1797" max="1797" width="16.25" style="103" customWidth="1"/>
    <col min="1798" max="1798" width="16.75" style="103" customWidth="1"/>
    <col min="1799" max="1799" width="14.875" style="103" customWidth="1"/>
    <col min="1800" max="1800" width="19.625" style="103" bestFit="1" customWidth="1"/>
    <col min="1801" max="1801" width="21.875" style="103" customWidth="1"/>
    <col min="1802" max="2038" width="11" style="103"/>
    <col min="2039" max="2039" width="51" style="103" customWidth="1"/>
    <col min="2040" max="2040" width="19" style="103" customWidth="1"/>
    <col min="2041" max="2041" width="15.375" style="103" customWidth="1"/>
    <col min="2042" max="2042" width="14.5" style="103" customWidth="1"/>
    <col min="2043" max="2043" width="19.75" style="103" customWidth="1"/>
    <col min="2044" max="2044" width="20.5" style="103" customWidth="1"/>
    <col min="2045" max="2045" width="15.25" style="103" customWidth="1"/>
    <col min="2046" max="2046" width="15.625" style="103" customWidth="1"/>
    <col min="2047" max="2047" width="15.625" style="103" bestFit="1" customWidth="1"/>
    <col min="2048" max="2048" width="14.875" style="103" customWidth="1"/>
    <col min="2049" max="2049" width="15.625" style="103" bestFit="1" customWidth="1"/>
    <col min="2050" max="2050" width="15" style="103" customWidth="1"/>
    <col min="2051" max="2051" width="15.625" style="103" bestFit="1" customWidth="1"/>
    <col min="2052" max="2052" width="15.875" style="103" customWidth="1"/>
    <col min="2053" max="2053" width="16.25" style="103" customWidth="1"/>
    <col min="2054" max="2054" width="16.75" style="103" customWidth="1"/>
    <col min="2055" max="2055" width="14.875" style="103" customWidth="1"/>
    <col min="2056" max="2056" width="19.625" style="103" bestFit="1" customWidth="1"/>
    <col min="2057" max="2057" width="21.875" style="103" customWidth="1"/>
    <col min="2058" max="2294" width="11" style="103"/>
    <col min="2295" max="2295" width="51" style="103" customWidth="1"/>
    <col min="2296" max="2296" width="19" style="103" customWidth="1"/>
    <col min="2297" max="2297" width="15.375" style="103" customWidth="1"/>
    <col min="2298" max="2298" width="14.5" style="103" customWidth="1"/>
    <col min="2299" max="2299" width="19.75" style="103" customWidth="1"/>
    <col min="2300" max="2300" width="20.5" style="103" customWidth="1"/>
    <col min="2301" max="2301" width="15.25" style="103" customWidth="1"/>
    <col min="2302" max="2302" width="15.625" style="103" customWidth="1"/>
    <col min="2303" max="2303" width="15.625" style="103" bestFit="1" customWidth="1"/>
    <col min="2304" max="2304" width="14.875" style="103" customWidth="1"/>
    <col min="2305" max="2305" width="15.625" style="103" bestFit="1" customWidth="1"/>
    <col min="2306" max="2306" width="15" style="103" customWidth="1"/>
    <col min="2307" max="2307" width="15.625" style="103" bestFit="1" customWidth="1"/>
    <col min="2308" max="2308" width="15.875" style="103" customWidth="1"/>
    <col min="2309" max="2309" width="16.25" style="103" customWidth="1"/>
    <col min="2310" max="2310" width="16.75" style="103" customWidth="1"/>
    <col min="2311" max="2311" width="14.875" style="103" customWidth="1"/>
    <col min="2312" max="2312" width="19.625" style="103" bestFit="1" customWidth="1"/>
    <col min="2313" max="2313" width="21.875" style="103" customWidth="1"/>
    <col min="2314" max="2550" width="11" style="103"/>
    <col min="2551" max="2551" width="51" style="103" customWidth="1"/>
    <col min="2552" max="2552" width="19" style="103" customWidth="1"/>
    <col min="2553" max="2553" width="15.375" style="103" customWidth="1"/>
    <col min="2554" max="2554" width="14.5" style="103" customWidth="1"/>
    <col min="2555" max="2555" width="19.75" style="103" customWidth="1"/>
    <col min="2556" max="2556" width="20.5" style="103" customWidth="1"/>
    <col min="2557" max="2557" width="15.25" style="103" customWidth="1"/>
    <col min="2558" max="2558" width="15.625" style="103" customWidth="1"/>
    <col min="2559" max="2559" width="15.625" style="103" bestFit="1" customWidth="1"/>
    <col min="2560" max="2560" width="14.875" style="103" customWidth="1"/>
    <col min="2561" max="2561" width="15.625" style="103" bestFit="1" customWidth="1"/>
    <col min="2562" max="2562" width="15" style="103" customWidth="1"/>
    <col min="2563" max="2563" width="15.625" style="103" bestFit="1" customWidth="1"/>
    <col min="2564" max="2564" width="15.875" style="103" customWidth="1"/>
    <col min="2565" max="2565" width="16.25" style="103" customWidth="1"/>
    <col min="2566" max="2566" width="16.75" style="103" customWidth="1"/>
    <col min="2567" max="2567" width="14.875" style="103" customWidth="1"/>
    <col min="2568" max="2568" width="19.625" style="103" bestFit="1" customWidth="1"/>
    <col min="2569" max="2569" width="21.875" style="103" customWidth="1"/>
    <col min="2570" max="2806" width="11" style="103"/>
    <col min="2807" max="2807" width="51" style="103" customWidth="1"/>
    <col min="2808" max="2808" width="19" style="103" customWidth="1"/>
    <col min="2809" max="2809" width="15.375" style="103" customWidth="1"/>
    <col min="2810" max="2810" width="14.5" style="103" customWidth="1"/>
    <col min="2811" max="2811" width="19.75" style="103" customWidth="1"/>
    <col min="2812" max="2812" width="20.5" style="103" customWidth="1"/>
    <col min="2813" max="2813" width="15.25" style="103" customWidth="1"/>
    <col min="2814" max="2814" width="15.625" style="103" customWidth="1"/>
    <col min="2815" max="2815" width="15.625" style="103" bestFit="1" customWidth="1"/>
    <col min="2816" max="2816" width="14.875" style="103" customWidth="1"/>
    <col min="2817" max="2817" width="15.625" style="103" bestFit="1" customWidth="1"/>
    <col min="2818" max="2818" width="15" style="103" customWidth="1"/>
    <col min="2819" max="2819" width="15.625" style="103" bestFit="1" customWidth="1"/>
    <col min="2820" max="2820" width="15.875" style="103" customWidth="1"/>
    <col min="2821" max="2821" width="16.25" style="103" customWidth="1"/>
    <col min="2822" max="2822" width="16.75" style="103" customWidth="1"/>
    <col min="2823" max="2823" width="14.875" style="103" customWidth="1"/>
    <col min="2824" max="2824" width="19.625" style="103" bestFit="1" customWidth="1"/>
    <col min="2825" max="2825" width="21.875" style="103" customWidth="1"/>
    <col min="2826" max="3062" width="11" style="103"/>
    <col min="3063" max="3063" width="51" style="103" customWidth="1"/>
    <col min="3064" max="3064" width="19" style="103" customWidth="1"/>
    <col min="3065" max="3065" width="15.375" style="103" customWidth="1"/>
    <col min="3066" max="3066" width="14.5" style="103" customWidth="1"/>
    <col min="3067" max="3067" width="19.75" style="103" customWidth="1"/>
    <col min="3068" max="3068" width="20.5" style="103" customWidth="1"/>
    <col min="3069" max="3069" width="15.25" style="103" customWidth="1"/>
    <col min="3070" max="3070" width="15.625" style="103" customWidth="1"/>
    <col min="3071" max="3071" width="15.625" style="103" bestFit="1" customWidth="1"/>
    <col min="3072" max="3072" width="14.875" style="103" customWidth="1"/>
    <col min="3073" max="3073" width="15.625" style="103" bestFit="1" customWidth="1"/>
    <col min="3074" max="3074" width="15" style="103" customWidth="1"/>
    <col min="3075" max="3075" width="15.625" style="103" bestFit="1" customWidth="1"/>
    <col min="3076" max="3076" width="15.875" style="103" customWidth="1"/>
    <col min="3077" max="3077" width="16.25" style="103" customWidth="1"/>
    <col min="3078" max="3078" width="16.75" style="103" customWidth="1"/>
    <col min="3079" max="3079" width="14.875" style="103" customWidth="1"/>
    <col min="3080" max="3080" width="19.625" style="103" bestFit="1" customWidth="1"/>
    <col min="3081" max="3081" width="21.875" style="103" customWidth="1"/>
    <col min="3082" max="3318" width="11" style="103"/>
    <col min="3319" max="3319" width="51" style="103" customWidth="1"/>
    <col min="3320" max="3320" width="19" style="103" customWidth="1"/>
    <col min="3321" max="3321" width="15.375" style="103" customWidth="1"/>
    <col min="3322" max="3322" width="14.5" style="103" customWidth="1"/>
    <col min="3323" max="3323" width="19.75" style="103" customWidth="1"/>
    <col min="3324" max="3324" width="20.5" style="103" customWidth="1"/>
    <col min="3325" max="3325" width="15.25" style="103" customWidth="1"/>
    <col min="3326" max="3326" width="15.625" style="103" customWidth="1"/>
    <col min="3327" max="3327" width="15.625" style="103" bestFit="1" customWidth="1"/>
    <col min="3328" max="3328" width="14.875" style="103" customWidth="1"/>
    <col min="3329" max="3329" width="15.625" style="103" bestFit="1" customWidth="1"/>
    <col min="3330" max="3330" width="15" style="103" customWidth="1"/>
    <col min="3331" max="3331" width="15.625" style="103" bestFit="1" customWidth="1"/>
    <col min="3332" max="3332" width="15.875" style="103" customWidth="1"/>
    <col min="3333" max="3333" width="16.25" style="103" customWidth="1"/>
    <col min="3334" max="3334" width="16.75" style="103" customWidth="1"/>
    <col min="3335" max="3335" width="14.875" style="103" customWidth="1"/>
    <col min="3336" max="3336" width="19.625" style="103" bestFit="1" customWidth="1"/>
    <col min="3337" max="3337" width="21.875" style="103" customWidth="1"/>
    <col min="3338" max="3574" width="11" style="103"/>
    <col min="3575" max="3575" width="51" style="103" customWidth="1"/>
    <col min="3576" max="3576" width="19" style="103" customWidth="1"/>
    <col min="3577" max="3577" width="15.375" style="103" customWidth="1"/>
    <col min="3578" max="3578" width="14.5" style="103" customWidth="1"/>
    <col min="3579" max="3579" width="19.75" style="103" customWidth="1"/>
    <col min="3580" max="3580" width="20.5" style="103" customWidth="1"/>
    <col min="3581" max="3581" width="15.25" style="103" customWidth="1"/>
    <col min="3582" max="3582" width="15.625" style="103" customWidth="1"/>
    <col min="3583" max="3583" width="15.625" style="103" bestFit="1" customWidth="1"/>
    <col min="3584" max="3584" width="14.875" style="103" customWidth="1"/>
    <col min="3585" max="3585" width="15.625" style="103" bestFit="1" customWidth="1"/>
    <col min="3586" max="3586" width="15" style="103" customWidth="1"/>
    <col min="3587" max="3587" width="15.625" style="103" bestFit="1" customWidth="1"/>
    <col min="3588" max="3588" width="15.875" style="103" customWidth="1"/>
    <col min="3589" max="3589" width="16.25" style="103" customWidth="1"/>
    <col min="3590" max="3590" width="16.75" style="103" customWidth="1"/>
    <col min="3591" max="3591" width="14.875" style="103" customWidth="1"/>
    <col min="3592" max="3592" width="19.625" style="103" bestFit="1" customWidth="1"/>
    <col min="3593" max="3593" width="21.875" style="103" customWidth="1"/>
    <col min="3594" max="3830" width="11" style="103"/>
    <col min="3831" max="3831" width="51" style="103" customWidth="1"/>
    <col min="3832" max="3832" width="19" style="103" customWidth="1"/>
    <col min="3833" max="3833" width="15.375" style="103" customWidth="1"/>
    <col min="3834" max="3834" width="14.5" style="103" customWidth="1"/>
    <col min="3835" max="3835" width="19.75" style="103" customWidth="1"/>
    <col min="3836" max="3836" width="20.5" style="103" customWidth="1"/>
    <col min="3837" max="3837" width="15.25" style="103" customWidth="1"/>
    <col min="3838" max="3838" width="15.625" style="103" customWidth="1"/>
    <col min="3839" max="3839" width="15.625" style="103" bestFit="1" customWidth="1"/>
    <col min="3840" max="3840" width="14.875" style="103" customWidth="1"/>
    <col min="3841" max="3841" width="15.625" style="103" bestFit="1" customWidth="1"/>
    <col min="3842" max="3842" width="15" style="103" customWidth="1"/>
    <col min="3843" max="3843" width="15.625" style="103" bestFit="1" customWidth="1"/>
    <col min="3844" max="3844" width="15.875" style="103" customWidth="1"/>
    <col min="3845" max="3845" width="16.25" style="103" customWidth="1"/>
    <col min="3846" max="3846" width="16.75" style="103" customWidth="1"/>
    <col min="3847" max="3847" width="14.875" style="103" customWidth="1"/>
    <col min="3848" max="3848" width="19.625" style="103" bestFit="1" customWidth="1"/>
    <col min="3849" max="3849" width="21.875" style="103" customWidth="1"/>
    <col min="3850" max="4086" width="11" style="103"/>
    <col min="4087" max="4087" width="51" style="103" customWidth="1"/>
    <col min="4088" max="4088" width="19" style="103" customWidth="1"/>
    <col min="4089" max="4089" width="15.375" style="103" customWidth="1"/>
    <col min="4090" max="4090" width="14.5" style="103" customWidth="1"/>
    <col min="4091" max="4091" width="19.75" style="103" customWidth="1"/>
    <col min="4092" max="4092" width="20.5" style="103" customWidth="1"/>
    <col min="4093" max="4093" width="15.25" style="103" customWidth="1"/>
    <col min="4094" max="4094" width="15.625" style="103" customWidth="1"/>
    <col min="4095" max="4095" width="15.625" style="103" bestFit="1" customWidth="1"/>
    <col min="4096" max="4096" width="14.875" style="103" customWidth="1"/>
    <col min="4097" max="4097" width="15.625" style="103" bestFit="1" customWidth="1"/>
    <col min="4098" max="4098" width="15" style="103" customWidth="1"/>
    <col min="4099" max="4099" width="15.625" style="103" bestFit="1" customWidth="1"/>
    <col min="4100" max="4100" width="15.875" style="103" customWidth="1"/>
    <col min="4101" max="4101" width="16.25" style="103" customWidth="1"/>
    <col min="4102" max="4102" width="16.75" style="103" customWidth="1"/>
    <col min="4103" max="4103" width="14.875" style="103" customWidth="1"/>
    <col min="4104" max="4104" width="19.625" style="103" bestFit="1" customWidth="1"/>
    <col min="4105" max="4105" width="21.875" style="103" customWidth="1"/>
    <col min="4106" max="4342" width="11" style="103"/>
    <col min="4343" max="4343" width="51" style="103" customWidth="1"/>
    <col min="4344" max="4344" width="19" style="103" customWidth="1"/>
    <col min="4345" max="4345" width="15.375" style="103" customWidth="1"/>
    <col min="4346" max="4346" width="14.5" style="103" customWidth="1"/>
    <col min="4347" max="4347" width="19.75" style="103" customWidth="1"/>
    <col min="4348" max="4348" width="20.5" style="103" customWidth="1"/>
    <col min="4349" max="4349" width="15.25" style="103" customWidth="1"/>
    <col min="4350" max="4350" width="15.625" style="103" customWidth="1"/>
    <col min="4351" max="4351" width="15.625" style="103" bestFit="1" customWidth="1"/>
    <col min="4352" max="4352" width="14.875" style="103" customWidth="1"/>
    <col min="4353" max="4353" width="15.625" style="103" bestFit="1" customWidth="1"/>
    <col min="4354" max="4354" width="15" style="103" customWidth="1"/>
    <col min="4355" max="4355" width="15.625" style="103" bestFit="1" customWidth="1"/>
    <col min="4356" max="4356" width="15.875" style="103" customWidth="1"/>
    <col min="4357" max="4357" width="16.25" style="103" customWidth="1"/>
    <col min="4358" max="4358" width="16.75" style="103" customWidth="1"/>
    <col min="4359" max="4359" width="14.875" style="103" customWidth="1"/>
    <col min="4360" max="4360" width="19.625" style="103" bestFit="1" customWidth="1"/>
    <col min="4361" max="4361" width="21.875" style="103" customWidth="1"/>
    <col min="4362" max="4598" width="11" style="103"/>
    <col min="4599" max="4599" width="51" style="103" customWidth="1"/>
    <col min="4600" max="4600" width="19" style="103" customWidth="1"/>
    <col min="4601" max="4601" width="15.375" style="103" customWidth="1"/>
    <col min="4602" max="4602" width="14.5" style="103" customWidth="1"/>
    <col min="4603" max="4603" width="19.75" style="103" customWidth="1"/>
    <col min="4604" max="4604" width="20.5" style="103" customWidth="1"/>
    <col min="4605" max="4605" width="15.25" style="103" customWidth="1"/>
    <col min="4606" max="4606" width="15.625" style="103" customWidth="1"/>
    <col min="4607" max="4607" width="15.625" style="103" bestFit="1" customWidth="1"/>
    <col min="4608" max="4608" width="14.875" style="103" customWidth="1"/>
    <col min="4609" max="4609" width="15.625" style="103" bestFit="1" customWidth="1"/>
    <col min="4610" max="4610" width="15" style="103" customWidth="1"/>
    <col min="4611" max="4611" width="15.625" style="103" bestFit="1" customWidth="1"/>
    <col min="4612" max="4612" width="15.875" style="103" customWidth="1"/>
    <col min="4613" max="4613" width="16.25" style="103" customWidth="1"/>
    <col min="4614" max="4614" width="16.75" style="103" customWidth="1"/>
    <col min="4615" max="4615" width="14.875" style="103" customWidth="1"/>
    <col min="4616" max="4616" width="19.625" style="103" bestFit="1" customWidth="1"/>
    <col min="4617" max="4617" width="21.875" style="103" customWidth="1"/>
    <col min="4618" max="4854" width="11" style="103"/>
    <col min="4855" max="4855" width="51" style="103" customWidth="1"/>
    <col min="4856" max="4856" width="19" style="103" customWidth="1"/>
    <col min="4857" max="4857" width="15.375" style="103" customWidth="1"/>
    <col min="4858" max="4858" width="14.5" style="103" customWidth="1"/>
    <col min="4859" max="4859" width="19.75" style="103" customWidth="1"/>
    <col min="4860" max="4860" width="20.5" style="103" customWidth="1"/>
    <col min="4861" max="4861" width="15.25" style="103" customWidth="1"/>
    <col min="4862" max="4862" width="15.625" style="103" customWidth="1"/>
    <col min="4863" max="4863" width="15.625" style="103" bestFit="1" customWidth="1"/>
    <col min="4864" max="4864" width="14.875" style="103" customWidth="1"/>
    <col min="4865" max="4865" width="15.625" style="103" bestFit="1" customWidth="1"/>
    <col min="4866" max="4866" width="15" style="103" customWidth="1"/>
    <col min="4867" max="4867" width="15.625" style="103" bestFit="1" customWidth="1"/>
    <col min="4868" max="4868" width="15.875" style="103" customWidth="1"/>
    <col min="4869" max="4869" width="16.25" style="103" customWidth="1"/>
    <col min="4870" max="4870" width="16.75" style="103" customWidth="1"/>
    <col min="4871" max="4871" width="14.875" style="103" customWidth="1"/>
    <col min="4872" max="4872" width="19.625" style="103" bestFit="1" customWidth="1"/>
    <col min="4873" max="4873" width="21.875" style="103" customWidth="1"/>
    <col min="4874" max="5110" width="11" style="103"/>
    <col min="5111" max="5111" width="51" style="103" customWidth="1"/>
    <col min="5112" max="5112" width="19" style="103" customWidth="1"/>
    <col min="5113" max="5113" width="15.375" style="103" customWidth="1"/>
    <col min="5114" max="5114" width="14.5" style="103" customWidth="1"/>
    <col min="5115" max="5115" width="19.75" style="103" customWidth="1"/>
    <col min="5116" max="5116" width="20.5" style="103" customWidth="1"/>
    <col min="5117" max="5117" width="15.25" style="103" customWidth="1"/>
    <col min="5118" max="5118" width="15.625" style="103" customWidth="1"/>
    <col min="5119" max="5119" width="15.625" style="103" bestFit="1" customWidth="1"/>
    <col min="5120" max="5120" width="14.875" style="103" customWidth="1"/>
    <col min="5121" max="5121" width="15.625" style="103" bestFit="1" customWidth="1"/>
    <col min="5122" max="5122" width="15" style="103" customWidth="1"/>
    <col min="5123" max="5123" width="15.625" style="103" bestFit="1" customWidth="1"/>
    <col min="5124" max="5124" width="15.875" style="103" customWidth="1"/>
    <col min="5125" max="5125" width="16.25" style="103" customWidth="1"/>
    <col min="5126" max="5126" width="16.75" style="103" customWidth="1"/>
    <col min="5127" max="5127" width="14.875" style="103" customWidth="1"/>
    <col min="5128" max="5128" width="19.625" style="103" bestFit="1" customWidth="1"/>
    <col min="5129" max="5129" width="21.875" style="103" customWidth="1"/>
    <col min="5130" max="5366" width="11" style="103"/>
    <col min="5367" max="5367" width="51" style="103" customWidth="1"/>
    <col min="5368" max="5368" width="19" style="103" customWidth="1"/>
    <col min="5369" max="5369" width="15.375" style="103" customWidth="1"/>
    <col min="5370" max="5370" width="14.5" style="103" customWidth="1"/>
    <col min="5371" max="5371" width="19.75" style="103" customWidth="1"/>
    <col min="5372" max="5372" width="20.5" style="103" customWidth="1"/>
    <col min="5373" max="5373" width="15.25" style="103" customWidth="1"/>
    <col min="5374" max="5374" width="15.625" style="103" customWidth="1"/>
    <col min="5375" max="5375" width="15.625" style="103" bestFit="1" customWidth="1"/>
    <col min="5376" max="5376" width="14.875" style="103" customWidth="1"/>
    <col min="5377" max="5377" width="15.625" style="103" bestFit="1" customWidth="1"/>
    <col min="5378" max="5378" width="15" style="103" customWidth="1"/>
    <col min="5379" max="5379" width="15.625" style="103" bestFit="1" customWidth="1"/>
    <col min="5380" max="5380" width="15.875" style="103" customWidth="1"/>
    <col min="5381" max="5381" width="16.25" style="103" customWidth="1"/>
    <col min="5382" max="5382" width="16.75" style="103" customWidth="1"/>
    <col min="5383" max="5383" width="14.875" style="103" customWidth="1"/>
    <col min="5384" max="5384" width="19.625" style="103" bestFit="1" customWidth="1"/>
    <col min="5385" max="5385" width="21.875" style="103" customWidth="1"/>
    <col min="5386" max="5622" width="11" style="103"/>
    <col min="5623" max="5623" width="51" style="103" customWidth="1"/>
    <col min="5624" max="5624" width="19" style="103" customWidth="1"/>
    <col min="5625" max="5625" width="15.375" style="103" customWidth="1"/>
    <col min="5626" max="5626" width="14.5" style="103" customWidth="1"/>
    <col min="5627" max="5627" width="19.75" style="103" customWidth="1"/>
    <col min="5628" max="5628" width="20.5" style="103" customWidth="1"/>
    <col min="5629" max="5629" width="15.25" style="103" customWidth="1"/>
    <col min="5630" max="5630" width="15.625" style="103" customWidth="1"/>
    <col min="5631" max="5631" width="15.625" style="103" bestFit="1" customWidth="1"/>
    <col min="5632" max="5632" width="14.875" style="103" customWidth="1"/>
    <col min="5633" max="5633" width="15.625" style="103" bestFit="1" customWidth="1"/>
    <col min="5634" max="5634" width="15" style="103" customWidth="1"/>
    <col min="5635" max="5635" width="15.625" style="103" bestFit="1" customWidth="1"/>
    <col min="5636" max="5636" width="15.875" style="103" customWidth="1"/>
    <col min="5637" max="5637" width="16.25" style="103" customWidth="1"/>
    <col min="5638" max="5638" width="16.75" style="103" customWidth="1"/>
    <col min="5639" max="5639" width="14.875" style="103" customWidth="1"/>
    <col min="5640" max="5640" width="19.625" style="103" bestFit="1" customWidth="1"/>
    <col min="5641" max="5641" width="21.875" style="103" customWidth="1"/>
    <col min="5642" max="5878" width="11" style="103"/>
    <col min="5879" max="5879" width="51" style="103" customWidth="1"/>
    <col min="5880" max="5880" width="19" style="103" customWidth="1"/>
    <col min="5881" max="5881" width="15.375" style="103" customWidth="1"/>
    <col min="5882" max="5882" width="14.5" style="103" customWidth="1"/>
    <col min="5883" max="5883" width="19.75" style="103" customWidth="1"/>
    <col min="5884" max="5884" width="20.5" style="103" customWidth="1"/>
    <col min="5885" max="5885" width="15.25" style="103" customWidth="1"/>
    <col min="5886" max="5886" width="15.625" style="103" customWidth="1"/>
    <col min="5887" max="5887" width="15.625" style="103" bestFit="1" customWidth="1"/>
    <col min="5888" max="5888" width="14.875" style="103" customWidth="1"/>
    <col min="5889" max="5889" width="15.625" style="103" bestFit="1" customWidth="1"/>
    <col min="5890" max="5890" width="15" style="103" customWidth="1"/>
    <col min="5891" max="5891" width="15.625" style="103" bestFit="1" customWidth="1"/>
    <col min="5892" max="5892" width="15.875" style="103" customWidth="1"/>
    <col min="5893" max="5893" width="16.25" style="103" customWidth="1"/>
    <col min="5894" max="5894" width="16.75" style="103" customWidth="1"/>
    <col min="5895" max="5895" width="14.875" style="103" customWidth="1"/>
    <col min="5896" max="5896" width="19.625" style="103" bestFit="1" customWidth="1"/>
    <col min="5897" max="5897" width="21.875" style="103" customWidth="1"/>
    <col min="5898" max="6134" width="11" style="103"/>
    <col min="6135" max="6135" width="51" style="103" customWidth="1"/>
    <col min="6136" max="6136" width="19" style="103" customWidth="1"/>
    <col min="6137" max="6137" width="15.375" style="103" customWidth="1"/>
    <col min="6138" max="6138" width="14.5" style="103" customWidth="1"/>
    <col min="6139" max="6139" width="19.75" style="103" customWidth="1"/>
    <col min="6140" max="6140" width="20.5" style="103" customWidth="1"/>
    <col min="6141" max="6141" width="15.25" style="103" customWidth="1"/>
    <col min="6142" max="6142" width="15.625" style="103" customWidth="1"/>
    <col min="6143" max="6143" width="15.625" style="103" bestFit="1" customWidth="1"/>
    <col min="6144" max="6144" width="14.875" style="103" customWidth="1"/>
    <col min="6145" max="6145" width="15.625" style="103" bestFit="1" customWidth="1"/>
    <col min="6146" max="6146" width="15" style="103" customWidth="1"/>
    <col min="6147" max="6147" width="15.625" style="103" bestFit="1" customWidth="1"/>
    <col min="6148" max="6148" width="15.875" style="103" customWidth="1"/>
    <col min="6149" max="6149" width="16.25" style="103" customWidth="1"/>
    <col min="6150" max="6150" width="16.75" style="103" customWidth="1"/>
    <col min="6151" max="6151" width="14.875" style="103" customWidth="1"/>
    <col min="6152" max="6152" width="19.625" style="103" bestFit="1" customWidth="1"/>
    <col min="6153" max="6153" width="21.875" style="103" customWidth="1"/>
    <col min="6154" max="6390" width="11" style="103"/>
    <col min="6391" max="6391" width="51" style="103" customWidth="1"/>
    <col min="6392" max="6392" width="19" style="103" customWidth="1"/>
    <col min="6393" max="6393" width="15.375" style="103" customWidth="1"/>
    <col min="6394" max="6394" width="14.5" style="103" customWidth="1"/>
    <col min="6395" max="6395" width="19.75" style="103" customWidth="1"/>
    <col min="6396" max="6396" width="20.5" style="103" customWidth="1"/>
    <col min="6397" max="6397" width="15.25" style="103" customWidth="1"/>
    <col min="6398" max="6398" width="15.625" style="103" customWidth="1"/>
    <col min="6399" max="6399" width="15.625" style="103" bestFit="1" customWidth="1"/>
    <col min="6400" max="6400" width="14.875" style="103" customWidth="1"/>
    <col min="6401" max="6401" width="15.625" style="103" bestFit="1" customWidth="1"/>
    <col min="6402" max="6402" width="15" style="103" customWidth="1"/>
    <col min="6403" max="6403" width="15.625" style="103" bestFit="1" customWidth="1"/>
    <col min="6404" max="6404" width="15.875" style="103" customWidth="1"/>
    <col min="6405" max="6405" width="16.25" style="103" customWidth="1"/>
    <col min="6406" max="6406" width="16.75" style="103" customWidth="1"/>
    <col min="6407" max="6407" width="14.875" style="103" customWidth="1"/>
    <col min="6408" max="6408" width="19.625" style="103" bestFit="1" customWidth="1"/>
    <col min="6409" max="6409" width="21.875" style="103" customWidth="1"/>
    <col min="6410" max="6646" width="11" style="103"/>
    <col min="6647" max="6647" width="51" style="103" customWidth="1"/>
    <col min="6648" max="6648" width="19" style="103" customWidth="1"/>
    <col min="6649" max="6649" width="15.375" style="103" customWidth="1"/>
    <col min="6650" max="6650" width="14.5" style="103" customWidth="1"/>
    <col min="6651" max="6651" width="19.75" style="103" customWidth="1"/>
    <col min="6652" max="6652" width="20.5" style="103" customWidth="1"/>
    <col min="6653" max="6653" width="15.25" style="103" customWidth="1"/>
    <col min="6654" max="6654" width="15.625" style="103" customWidth="1"/>
    <col min="6655" max="6655" width="15.625" style="103" bestFit="1" customWidth="1"/>
    <col min="6656" max="6656" width="14.875" style="103" customWidth="1"/>
    <col min="6657" max="6657" width="15.625" style="103" bestFit="1" customWidth="1"/>
    <col min="6658" max="6658" width="15" style="103" customWidth="1"/>
    <col min="6659" max="6659" width="15.625" style="103" bestFit="1" customWidth="1"/>
    <col min="6660" max="6660" width="15.875" style="103" customWidth="1"/>
    <col min="6661" max="6661" width="16.25" style="103" customWidth="1"/>
    <col min="6662" max="6662" width="16.75" style="103" customWidth="1"/>
    <col min="6663" max="6663" width="14.875" style="103" customWidth="1"/>
    <col min="6664" max="6664" width="19.625" style="103" bestFit="1" customWidth="1"/>
    <col min="6665" max="6665" width="21.875" style="103" customWidth="1"/>
    <col min="6666" max="6902" width="11" style="103"/>
    <col min="6903" max="6903" width="51" style="103" customWidth="1"/>
    <col min="6904" max="6904" width="19" style="103" customWidth="1"/>
    <col min="6905" max="6905" width="15.375" style="103" customWidth="1"/>
    <col min="6906" max="6906" width="14.5" style="103" customWidth="1"/>
    <col min="6907" max="6907" width="19.75" style="103" customWidth="1"/>
    <col min="6908" max="6908" width="20.5" style="103" customWidth="1"/>
    <col min="6909" max="6909" width="15.25" style="103" customWidth="1"/>
    <col min="6910" max="6910" width="15.625" style="103" customWidth="1"/>
    <col min="6911" max="6911" width="15.625" style="103" bestFit="1" customWidth="1"/>
    <col min="6912" max="6912" width="14.875" style="103" customWidth="1"/>
    <col min="6913" max="6913" width="15.625" style="103" bestFit="1" customWidth="1"/>
    <col min="6914" max="6914" width="15" style="103" customWidth="1"/>
    <col min="6915" max="6915" width="15.625" style="103" bestFit="1" customWidth="1"/>
    <col min="6916" max="6916" width="15.875" style="103" customWidth="1"/>
    <col min="6917" max="6917" width="16.25" style="103" customWidth="1"/>
    <col min="6918" max="6918" width="16.75" style="103" customWidth="1"/>
    <col min="6919" max="6919" width="14.875" style="103" customWidth="1"/>
    <col min="6920" max="6920" width="19.625" style="103" bestFit="1" customWidth="1"/>
    <col min="6921" max="6921" width="21.875" style="103" customWidth="1"/>
    <col min="6922" max="7158" width="11" style="103"/>
    <col min="7159" max="7159" width="51" style="103" customWidth="1"/>
    <col min="7160" max="7160" width="19" style="103" customWidth="1"/>
    <col min="7161" max="7161" width="15.375" style="103" customWidth="1"/>
    <col min="7162" max="7162" width="14.5" style="103" customWidth="1"/>
    <col min="7163" max="7163" width="19.75" style="103" customWidth="1"/>
    <col min="7164" max="7164" width="20.5" style="103" customWidth="1"/>
    <col min="7165" max="7165" width="15.25" style="103" customWidth="1"/>
    <col min="7166" max="7166" width="15.625" style="103" customWidth="1"/>
    <col min="7167" max="7167" width="15.625" style="103" bestFit="1" customWidth="1"/>
    <col min="7168" max="7168" width="14.875" style="103" customWidth="1"/>
    <col min="7169" max="7169" width="15.625" style="103" bestFit="1" customWidth="1"/>
    <col min="7170" max="7170" width="15" style="103" customWidth="1"/>
    <col min="7171" max="7171" width="15.625" style="103" bestFit="1" customWidth="1"/>
    <col min="7172" max="7172" width="15.875" style="103" customWidth="1"/>
    <col min="7173" max="7173" width="16.25" style="103" customWidth="1"/>
    <col min="7174" max="7174" width="16.75" style="103" customWidth="1"/>
    <col min="7175" max="7175" width="14.875" style="103" customWidth="1"/>
    <col min="7176" max="7176" width="19.625" style="103" bestFit="1" customWidth="1"/>
    <col min="7177" max="7177" width="21.875" style="103" customWidth="1"/>
    <col min="7178" max="7414" width="11" style="103"/>
    <col min="7415" max="7415" width="51" style="103" customWidth="1"/>
    <col min="7416" max="7416" width="19" style="103" customWidth="1"/>
    <col min="7417" max="7417" width="15.375" style="103" customWidth="1"/>
    <col min="7418" max="7418" width="14.5" style="103" customWidth="1"/>
    <col min="7419" max="7419" width="19.75" style="103" customWidth="1"/>
    <col min="7420" max="7420" width="20.5" style="103" customWidth="1"/>
    <col min="7421" max="7421" width="15.25" style="103" customWidth="1"/>
    <col min="7422" max="7422" width="15.625" style="103" customWidth="1"/>
    <col min="7423" max="7423" width="15.625" style="103" bestFit="1" customWidth="1"/>
    <col min="7424" max="7424" width="14.875" style="103" customWidth="1"/>
    <col min="7425" max="7425" width="15.625" style="103" bestFit="1" customWidth="1"/>
    <col min="7426" max="7426" width="15" style="103" customWidth="1"/>
    <col min="7427" max="7427" width="15.625" style="103" bestFit="1" customWidth="1"/>
    <col min="7428" max="7428" width="15.875" style="103" customWidth="1"/>
    <col min="7429" max="7429" width="16.25" style="103" customWidth="1"/>
    <col min="7430" max="7430" width="16.75" style="103" customWidth="1"/>
    <col min="7431" max="7431" width="14.875" style="103" customWidth="1"/>
    <col min="7432" max="7432" width="19.625" style="103" bestFit="1" customWidth="1"/>
    <col min="7433" max="7433" width="21.875" style="103" customWidth="1"/>
    <col min="7434" max="7670" width="11" style="103"/>
    <col min="7671" max="7671" width="51" style="103" customWidth="1"/>
    <col min="7672" max="7672" width="19" style="103" customWidth="1"/>
    <col min="7673" max="7673" width="15.375" style="103" customWidth="1"/>
    <col min="7674" max="7674" width="14.5" style="103" customWidth="1"/>
    <col min="7675" max="7675" width="19.75" style="103" customWidth="1"/>
    <col min="7676" max="7676" width="20.5" style="103" customWidth="1"/>
    <col min="7677" max="7677" width="15.25" style="103" customWidth="1"/>
    <col min="7678" max="7678" width="15.625" style="103" customWidth="1"/>
    <col min="7679" max="7679" width="15.625" style="103" bestFit="1" customWidth="1"/>
    <col min="7680" max="7680" width="14.875" style="103" customWidth="1"/>
    <col min="7681" max="7681" width="15.625" style="103" bestFit="1" customWidth="1"/>
    <col min="7682" max="7682" width="15" style="103" customWidth="1"/>
    <col min="7683" max="7683" width="15.625" style="103" bestFit="1" customWidth="1"/>
    <col min="7684" max="7684" width="15.875" style="103" customWidth="1"/>
    <col min="7685" max="7685" width="16.25" style="103" customWidth="1"/>
    <col min="7686" max="7686" width="16.75" style="103" customWidth="1"/>
    <col min="7687" max="7687" width="14.875" style="103" customWidth="1"/>
    <col min="7688" max="7688" width="19.625" style="103" bestFit="1" customWidth="1"/>
    <col min="7689" max="7689" width="21.875" style="103" customWidth="1"/>
    <col min="7690" max="7926" width="11" style="103"/>
    <col min="7927" max="7927" width="51" style="103" customWidth="1"/>
    <col min="7928" max="7928" width="19" style="103" customWidth="1"/>
    <col min="7929" max="7929" width="15.375" style="103" customWidth="1"/>
    <col min="7930" max="7930" width="14.5" style="103" customWidth="1"/>
    <col min="7931" max="7931" width="19.75" style="103" customWidth="1"/>
    <col min="7932" max="7932" width="20.5" style="103" customWidth="1"/>
    <col min="7933" max="7933" width="15.25" style="103" customWidth="1"/>
    <col min="7934" max="7934" width="15.625" style="103" customWidth="1"/>
    <col min="7935" max="7935" width="15.625" style="103" bestFit="1" customWidth="1"/>
    <col min="7936" max="7936" width="14.875" style="103" customWidth="1"/>
    <col min="7937" max="7937" width="15.625" style="103" bestFit="1" customWidth="1"/>
    <col min="7938" max="7938" width="15" style="103" customWidth="1"/>
    <col min="7939" max="7939" width="15.625" style="103" bestFit="1" customWidth="1"/>
    <col min="7940" max="7940" width="15.875" style="103" customWidth="1"/>
    <col min="7941" max="7941" width="16.25" style="103" customWidth="1"/>
    <col min="7942" max="7942" width="16.75" style="103" customWidth="1"/>
    <col min="7943" max="7943" width="14.875" style="103" customWidth="1"/>
    <col min="7944" max="7944" width="19.625" style="103" bestFit="1" customWidth="1"/>
    <col min="7945" max="7945" width="21.875" style="103" customWidth="1"/>
    <col min="7946" max="8182" width="11" style="103"/>
    <col min="8183" max="8183" width="51" style="103" customWidth="1"/>
    <col min="8184" max="8184" width="19" style="103" customWidth="1"/>
    <col min="8185" max="8185" width="15.375" style="103" customWidth="1"/>
    <col min="8186" max="8186" width="14.5" style="103" customWidth="1"/>
    <col min="8187" max="8187" width="19.75" style="103" customWidth="1"/>
    <col min="8188" max="8188" width="20.5" style="103" customWidth="1"/>
    <col min="8189" max="8189" width="15.25" style="103" customWidth="1"/>
    <col min="8190" max="8190" width="15.625" style="103" customWidth="1"/>
    <col min="8191" max="8191" width="15.625" style="103" bestFit="1" customWidth="1"/>
    <col min="8192" max="8192" width="14.875" style="103" customWidth="1"/>
    <col min="8193" max="8193" width="15.625" style="103" bestFit="1" customWidth="1"/>
    <col min="8194" max="8194" width="15" style="103" customWidth="1"/>
    <col min="8195" max="8195" width="15.625" style="103" bestFit="1" customWidth="1"/>
    <col min="8196" max="8196" width="15.875" style="103" customWidth="1"/>
    <col min="8197" max="8197" width="16.25" style="103" customWidth="1"/>
    <col min="8198" max="8198" width="16.75" style="103" customWidth="1"/>
    <col min="8199" max="8199" width="14.875" style="103" customWidth="1"/>
    <col min="8200" max="8200" width="19.625" style="103" bestFit="1" customWidth="1"/>
    <col min="8201" max="8201" width="21.875" style="103" customWidth="1"/>
    <col min="8202" max="8438" width="11" style="103"/>
    <col min="8439" max="8439" width="51" style="103" customWidth="1"/>
    <col min="8440" max="8440" width="19" style="103" customWidth="1"/>
    <col min="8441" max="8441" width="15.375" style="103" customWidth="1"/>
    <col min="8442" max="8442" width="14.5" style="103" customWidth="1"/>
    <col min="8443" max="8443" width="19.75" style="103" customWidth="1"/>
    <col min="8444" max="8444" width="20.5" style="103" customWidth="1"/>
    <col min="8445" max="8445" width="15.25" style="103" customWidth="1"/>
    <col min="8446" max="8446" width="15.625" style="103" customWidth="1"/>
    <col min="8447" max="8447" width="15.625" style="103" bestFit="1" customWidth="1"/>
    <col min="8448" max="8448" width="14.875" style="103" customWidth="1"/>
    <col min="8449" max="8449" width="15.625" style="103" bestFit="1" customWidth="1"/>
    <col min="8450" max="8450" width="15" style="103" customWidth="1"/>
    <col min="8451" max="8451" width="15.625" style="103" bestFit="1" customWidth="1"/>
    <col min="8452" max="8452" width="15.875" style="103" customWidth="1"/>
    <col min="8453" max="8453" width="16.25" style="103" customWidth="1"/>
    <col min="8454" max="8454" width="16.75" style="103" customWidth="1"/>
    <col min="8455" max="8455" width="14.875" style="103" customWidth="1"/>
    <col min="8456" max="8456" width="19.625" style="103" bestFit="1" customWidth="1"/>
    <col min="8457" max="8457" width="21.875" style="103" customWidth="1"/>
    <col min="8458" max="8694" width="11" style="103"/>
    <col min="8695" max="8695" width="51" style="103" customWidth="1"/>
    <col min="8696" max="8696" width="19" style="103" customWidth="1"/>
    <col min="8697" max="8697" width="15.375" style="103" customWidth="1"/>
    <col min="8698" max="8698" width="14.5" style="103" customWidth="1"/>
    <col min="8699" max="8699" width="19.75" style="103" customWidth="1"/>
    <col min="8700" max="8700" width="20.5" style="103" customWidth="1"/>
    <col min="8701" max="8701" width="15.25" style="103" customWidth="1"/>
    <col min="8702" max="8702" width="15.625" style="103" customWidth="1"/>
    <col min="8703" max="8703" width="15.625" style="103" bestFit="1" customWidth="1"/>
    <col min="8704" max="8704" width="14.875" style="103" customWidth="1"/>
    <col min="8705" max="8705" width="15.625" style="103" bestFit="1" customWidth="1"/>
    <col min="8706" max="8706" width="15" style="103" customWidth="1"/>
    <col min="8707" max="8707" width="15.625" style="103" bestFit="1" customWidth="1"/>
    <col min="8708" max="8708" width="15.875" style="103" customWidth="1"/>
    <col min="8709" max="8709" width="16.25" style="103" customWidth="1"/>
    <col min="8710" max="8710" width="16.75" style="103" customWidth="1"/>
    <col min="8711" max="8711" width="14.875" style="103" customWidth="1"/>
    <col min="8712" max="8712" width="19.625" style="103" bestFit="1" customWidth="1"/>
    <col min="8713" max="8713" width="21.875" style="103" customWidth="1"/>
    <col min="8714" max="8950" width="11" style="103"/>
    <col min="8951" max="8951" width="51" style="103" customWidth="1"/>
    <col min="8952" max="8952" width="19" style="103" customWidth="1"/>
    <col min="8953" max="8953" width="15.375" style="103" customWidth="1"/>
    <col min="8954" max="8954" width="14.5" style="103" customWidth="1"/>
    <col min="8955" max="8955" width="19.75" style="103" customWidth="1"/>
    <col min="8956" max="8956" width="20.5" style="103" customWidth="1"/>
    <col min="8957" max="8957" width="15.25" style="103" customWidth="1"/>
    <col min="8958" max="8958" width="15.625" style="103" customWidth="1"/>
    <col min="8959" max="8959" width="15.625" style="103" bestFit="1" customWidth="1"/>
    <col min="8960" max="8960" width="14.875" style="103" customWidth="1"/>
    <col min="8961" max="8961" width="15.625" style="103" bestFit="1" customWidth="1"/>
    <col min="8962" max="8962" width="15" style="103" customWidth="1"/>
    <col min="8963" max="8963" width="15.625" style="103" bestFit="1" customWidth="1"/>
    <col min="8964" max="8964" width="15.875" style="103" customWidth="1"/>
    <col min="8965" max="8965" width="16.25" style="103" customWidth="1"/>
    <col min="8966" max="8966" width="16.75" style="103" customWidth="1"/>
    <col min="8967" max="8967" width="14.875" style="103" customWidth="1"/>
    <col min="8968" max="8968" width="19.625" style="103" bestFit="1" customWidth="1"/>
    <col min="8969" max="8969" width="21.875" style="103" customWidth="1"/>
    <col min="8970" max="9206" width="11" style="103"/>
    <col min="9207" max="9207" width="51" style="103" customWidth="1"/>
    <col min="9208" max="9208" width="19" style="103" customWidth="1"/>
    <col min="9209" max="9209" width="15.375" style="103" customWidth="1"/>
    <col min="9210" max="9210" width="14.5" style="103" customWidth="1"/>
    <col min="9211" max="9211" width="19.75" style="103" customWidth="1"/>
    <col min="9212" max="9212" width="20.5" style="103" customWidth="1"/>
    <col min="9213" max="9213" width="15.25" style="103" customWidth="1"/>
    <col min="9214" max="9214" width="15.625" style="103" customWidth="1"/>
    <col min="9215" max="9215" width="15.625" style="103" bestFit="1" customWidth="1"/>
    <col min="9216" max="9216" width="14.875" style="103" customWidth="1"/>
    <col min="9217" max="9217" width="15.625" style="103" bestFit="1" customWidth="1"/>
    <col min="9218" max="9218" width="15" style="103" customWidth="1"/>
    <col min="9219" max="9219" width="15.625" style="103" bestFit="1" customWidth="1"/>
    <col min="9220" max="9220" width="15.875" style="103" customWidth="1"/>
    <col min="9221" max="9221" width="16.25" style="103" customWidth="1"/>
    <col min="9222" max="9222" width="16.75" style="103" customWidth="1"/>
    <col min="9223" max="9223" width="14.875" style="103" customWidth="1"/>
    <col min="9224" max="9224" width="19.625" style="103" bestFit="1" customWidth="1"/>
    <col min="9225" max="9225" width="21.875" style="103" customWidth="1"/>
    <col min="9226" max="9462" width="11" style="103"/>
    <col min="9463" max="9463" width="51" style="103" customWidth="1"/>
    <col min="9464" max="9464" width="19" style="103" customWidth="1"/>
    <col min="9465" max="9465" width="15.375" style="103" customWidth="1"/>
    <col min="9466" max="9466" width="14.5" style="103" customWidth="1"/>
    <col min="9467" max="9467" width="19.75" style="103" customWidth="1"/>
    <col min="9468" max="9468" width="20.5" style="103" customWidth="1"/>
    <col min="9469" max="9469" width="15.25" style="103" customWidth="1"/>
    <col min="9470" max="9470" width="15.625" style="103" customWidth="1"/>
    <col min="9471" max="9471" width="15.625" style="103" bestFit="1" customWidth="1"/>
    <col min="9472" max="9472" width="14.875" style="103" customWidth="1"/>
    <col min="9473" max="9473" width="15.625" style="103" bestFit="1" customWidth="1"/>
    <col min="9474" max="9474" width="15" style="103" customWidth="1"/>
    <col min="9475" max="9475" width="15.625" style="103" bestFit="1" customWidth="1"/>
    <col min="9476" max="9476" width="15.875" style="103" customWidth="1"/>
    <col min="9477" max="9477" width="16.25" style="103" customWidth="1"/>
    <col min="9478" max="9478" width="16.75" style="103" customWidth="1"/>
    <col min="9479" max="9479" width="14.875" style="103" customWidth="1"/>
    <col min="9480" max="9480" width="19.625" style="103" bestFit="1" customWidth="1"/>
    <col min="9481" max="9481" width="21.875" style="103" customWidth="1"/>
    <col min="9482" max="9718" width="11" style="103"/>
    <col min="9719" max="9719" width="51" style="103" customWidth="1"/>
    <col min="9720" max="9720" width="19" style="103" customWidth="1"/>
    <col min="9721" max="9721" width="15.375" style="103" customWidth="1"/>
    <col min="9722" max="9722" width="14.5" style="103" customWidth="1"/>
    <col min="9723" max="9723" width="19.75" style="103" customWidth="1"/>
    <col min="9724" max="9724" width="20.5" style="103" customWidth="1"/>
    <col min="9725" max="9725" width="15.25" style="103" customWidth="1"/>
    <col min="9726" max="9726" width="15.625" style="103" customWidth="1"/>
    <col min="9727" max="9727" width="15.625" style="103" bestFit="1" customWidth="1"/>
    <col min="9728" max="9728" width="14.875" style="103" customWidth="1"/>
    <col min="9729" max="9729" width="15.625" style="103" bestFit="1" customWidth="1"/>
    <col min="9730" max="9730" width="15" style="103" customWidth="1"/>
    <col min="9731" max="9731" width="15.625" style="103" bestFit="1" customWidth="1"/>
    <col min="9732" max="9732" width="15.875" style="103" customWidth="1"/>
    <col min="9733" max="9733" width="16.25" style="103" customWidth="1"/>
    <col min="9734" max="9734" width="16.75" style="103" customWidth="1"/>
    <col min="9735" max="9735" width="14.875" style="103" customWidth="1"/>
    <col min="9736" max="9736" width="19.625" style="103" bestFit="1" customWidth="1"/>
    <col min="9737" max="9737" width="21.875" style="103" customWidth="1"/>
    <col min="9738" max="9974" width="11" style="103"/>
    <col min="9975" max="9975" width="51" style="103" customWidth="1"/>
    <col min="9976" max="9976" width="19" style="103" customWidth="1"/>
    <col min="9977" max="9977" width="15.375" style="103" customWidth="1"/>
    <col min="9978" max="9978" width="14.5" style="103" customWidth="1"/>
    <col min="9979" max="9979" width="19.75" style="103" customWidth="1"/>
    <col min="9980" max="9980" width="20.5" style="103" customWidth="1"/>
    <col min="9981" max="9981" width="15.25" style="103" customWidth="1"/>
    <col min="9982" max="9982" width="15.625" style="103" customWidth="1"/>
    <col min="9983" max="9983" width="15.625" style="103" bestFit="1" customWidth="1"/>
    <col min="9984" max="9984" width="14.875" style="103" customWidth="1"/>
    <col min="9985" max="9985" width="15.625" style="103" bestFit="1" customWidth="1"/>
    <col min="9986" max="9986" width="15" style="103" customWidth="1"/>
    <col min="9987" max="9987" width="15.625" style="103" bestFit="1" customWidth="1"/>
    <col min="9988" max="9988" width="15.875" style="103" customWidth="1"/>
    <col min="9989" max="9989" width="16.25" style="103" customWidth="1"/>
    <col min="9990" max="9990" width="16.75" style="103" customWidth="1"/>
    <col min="9991" max="9991" width="14.875" style="103" customWidth="1"/>
    <col min="9992" max="9992" width="19.625" style="103" bestFit="1" customWidth="1"/>
    <col min="9993" max="9993" width="21.875" style="103" customWidth="1"/>
    <col min="9994" max="10230" width="11" style="103"/>
    <col min="10231" max="10231" width="51" style="103" customWidth="1"/>
    <col min="10232" max="10232" width="19" style="103" customWidth="1"/>
    <col min="10233" max="10233" width="15.375" style="103" customWidth="1"/>
    <col min="10234" max="10234" width="14.5" style="103" customWidth="1"/>
    <col min="10235" max="10235" width="19.75" style="103" customWidth="1"/>
    <col min="10236" max="10236" width="20.5" style="103" customWidth="1"/>
    <col min="10237" max="10237" width="15.25" style="103" customWidth="1"/>
    <col min="10238" max="10238" width="15.625" style="103" customWidth="1"/>
    <col min="10239" max="10239" width="15.625" style="103" bestFit="1" customWidth="1"/>
    <col min="10240" max="10240" width="14.875" style="103" customWidth="1"/>
    <col min="10241" max="10241" width="15.625" style="103" bestFit="1" customWidth="1"/>
    <col min="10242" max="10242" width="15" style="103" customWidth="1"/>
    <col min="10243" max="10243" width="15.625" style="103" bestFit="1" customWidth="1"/>
    <col min="10244" max="10244" width="15.875" style="103" customWidth="1"/>
    <col min="10245" max="10245" width="16.25" style="103" customWidth="1"/>
    <col min="10246" max="10246" width="16.75" style="103" customWidth="1"/>
    <col min="10247" max="10247" width="14.875" style="103" customWidth="1"/>
    <col min="10248" max="10248" width="19.625" style="103" bestFit="1" customWidth="1"/>
    <col min="10249" max="10249" width="21.875" style="103" customWidth="1"/>
    <col min="10250" max="10486" width="11" style="103"/>
    <col min="10487" max="10487" width="51" style="103" customWidth="1"/>
    <col min="10488" max="10488" width="19" style="103" customWidth="1"/>
    <col min="10489" max="10489" width="15.375" style="103" customWidth="1"/>
    <col min="10490" max="10490" width="14.5" style="103" customWidth="1"/>
    <col min="10491" max="10491" width="19.75" style="103" customWidth="1"/>
    <col min="10492" max="10492" width="20.5" style="103" customWidth="1"/>
    <col min="10493" max="10493" width="15.25" style="103" customWidth="1"/>
    <col min="10494" max="10494" width="15.625" style="103" customWidth="1"/>
    <col min="10495" max="10495" width="15.625" style="103" bestFit="1" customWidth="1"/>
    <col min="10496" max="10496" width="14.875" style="103" customWidth="1"/>
    <col min="10497" max="10497" width="15.625" style="103" bestFit="1" customWidth="1"/>
    <col min="10498" max="10498" width="15" style="103" customWidth="1"/>
    <col min="10499" max="10499" width="15.625" style="103" bestFit="1" customWidth="1"/>
    <col min="10500" max="10500" width="15.875" style="103" customWidth="1"/>
    <col min="10501" max="10501" width="16.25" style="103" customWidth="1"/>
    <col min="10502" max="10502" width="16.75" style="103" customWidth="1"/>
    <col min="10503" max="10503" width="14.875" style="103" customWidth="1"/>
    <col min="10504" max="10504" width="19.625" style="103" bestFit="1" customWidth="1"/>
    <col min="10505" max="10505" width="21.875" style="103" customWidth="1"/>
    <col min="10506" max="10742" width="11" style="103"/>
    <col min="10743" max="10743" width="51" style="103" customWidth="1"/>
    <col min="10744" max="10744" width="19" style="103" customWidth="1"/>
    <col min="10745" max="10745" width="15.375" style="103" customWidth="1"/>
    <col min="10746" max="10746" width="14.5" style="103" customWidth="1"/>
    <col min="10747" max="10747" width="19.75" style="103" customWidth="1"/>
    <col min="10748" max="10748" width="20.5" style="103" customWidth="1"/>
    <col min="10749" max="10749" width="15.25" style="103" customWidth="1"/>
    <col min="10750" max="10750" width="15.625" style="103" customWidth="1"/>
    <col min="10751" max="10751" width="15.625" style="103" bestFit="1" customWidth="1"/>
    <col min="10752" max="10752" width="14.875" style="103" customWidth="1"/>
    <col min="10753" max="10753" width="15.625" style="103" bestFit="1" customWidth="1"/>
    <col min="10754" max="10754" width="15" style="103" customWidth="1"/>
    <col min="10755" max="10755" width="15.625" style="103" bestFit="1" customWidth="1"/>
    <col min="10756" max="10756" width="15.875" style="103" customWidth="1"/>
    <col min="10757" max="10757" width="16.25" style="103" customWidth="1"/>
    <col min="10758" max="10758" width="16.75" style="103" customWidth="1"/>
    <col min="10759" max="10759" width="14.875" style="103" customWidth="1"/>
    <col min="10760" max="10760" width="19.625" style="103" bestFit="1" customWidth="1"/>
    <col min="10761" max="10761" width="21.875" style="103" customWidth="1"/>
    <col min="10762" max="10998" width="11" style="103"/>
    <col min="10999" max="10999" width="51" style="103" customWidth="1"/>
    <col min="11000" max="11000" width="19" style="103" customWidth="1"/>
    <col min="11001" max="11001" width="15.375" style="103" customWidth="1"/>
    <col min="11002" max="11002" width="14.5" style="103" customWidth="1"/>
    <col min="11003" max="11003" width="19.75" style="103" customWidth="1"/>
    <col min="11004" max="11004" width="20.5" style="103" customWidth="1"/>
    <col min="11005" max="11005" width="15.25" style="103" customWidth="1"/>
    <col min="11006" max="11006" width="15.625" style="103" customWidth="1"/>
    <col min="11007" max="11007" width="15.625" style="103" bestFit="1" customWidth="1"/>
    <col min="11008" max="11008" width="14.875" style="103" customWidth="1"/>
    <col min="11009" max="11009" width="15.625" style="103" bestFit="1" customWidth="1"/>
    <col min="11010" max="11010" width="15" style="103" customWidth="1"/>
    <col min="11011" max="11011" width="15.625" style="103" bestFit="1" customWidth="1"/>
    <col min="11012" max="11012" width="15.875" style="103" customWidth="1"/>
    <col min="11013" max="11013" width="16.25" style="103" customWidth="1"/>
    <col min="11014" max="11014" width="16.75" style="103" customWidth="1"/>
    <col min="11015" max="11015" width="14.875" style="103" customWidth="1"/>
    <col min="11016" max="11016" width="19.625" style="103" bestFit="1" customWidth="1"/>
    <col min="11017" max="11017" width="21.875" style="103" customWidth="1"/>
    <col min="11018" max="11254" width="11" style="103"/>
    <col min="11255" max="11255" width="51" style="103" customWidth="1"/>
    <col min="11256" max="11256" width="19" style="103" customWidth="1"/>
    <col min="11257" max="11257" width="15.375" style="103" customWidth="1"/>
    <col min="11258" max="11258" width="14.5" style="103" customWidth="1"/>
    <col min="11259" max="11259" width="19.75" style="103" customWidth="1"/>
    <col min="11260" max="11260" width="20.5" style="103" customWidth="1"/>
    <col min="11261" max="11261" width="15.25" style="103" customWidth="1"/>
    <col min="11262" max="11262" width="15.625" style="103" customWidth="1"/>
    <col min="11263" max="11263" width="15.625" style="103" bestFit="1" customWidth="1"/>
    <col min="11264" max="11264" width="14.875" style="103" customWidth="1"/>
    <col min="11265" max="11265" width="15.625" style="103" bestFit="1" customWidth="1"/>
    <col min="11266" max="11266" width="15" style="103" customWidth="1"/>
    <col min="11267" max="11267" width="15.625" style="103" bestFit="1" customWidth="1"/>
    <col min="11268" max="11268" width="15.875" style="103" customWidth="1"/>
    <col min="11269" max="11269" width="16.25" style="103" customWidth="1"/>
    <col min="11270" max="11270" width="16.75" style="103" customWidth="1"/>
    <col min="11271" max="11271" width="14.875" style="103" customWidth="1"/>
    <col min="11272" max="11272" width="19.625" style="103" bestFit="1" customWidth="1"/>
    <col min="11273" max="11273" width="21.875" style="103" customWidth="1"/>
    <col min="11274" max="11510" width="11" style="103"/>
    <col min="11511" max="11511" width="51" style="103" customWidth="1"/>
    <col min="11512" max="11512" width="19" style="103" customWidth="1"/>
    <col min="11513" max="11513" width="15.375" style="103" customWidth="1"/>
    <col min="11514" max="11514" width="14.5" style="103" customWidth="1"/>
    <col min="11515" max="11515" width="19.75" style="103" customWidth="1"/>
    <col min="11516" max="11516" width="20.5" style="103" customWidth="1"/>
    <col min="11517" max="11517" width="15.25" style="103" customWidth="1"/>
    <col min="11518" max="11518" width="15.625" style="103" customWidth="1"/>
    <col min="11519" max="11519" width="15.625" style="103" bestFit="1" customWidth="1"/>
    <col min="11520" max="11520" width="14.875" style="103" customWidth="1"/>
    <col min="11521" max="11521" width="15.625" style="103" bestFit="1" customWidth="1"/>
    <col min="11522" max="11522" width="15" style="103" customWidth="1"/>
    <col min="11523" max="11523" width="15.625" style="103" bestFit="1" customWidth="1"/>
    <col min="11524" max="11524" width="15.875" style="103" customWidth="1"/>
    <col min="11525" max="11525" width="16.25" style="103" customWidth="1"/>
    <col min="11526" max="11526" width="16.75" style="103" customWidth="1"/>
    <col min="11527" max="11527" width="14.875" style="103" customWidth="1"/>
    <col min="11528" max="11528" width="19.625" style="103" bestFit="1" customWidth="1"/>
    <col min="11529" max="11529" width="21.875" style="103" customWidth="1"/>
    <col min="11530" max="11766" width="11" style="103"/>
    <col min="11767" max="11767" width="51" style="103" customWidth="1"/>
    <col min="11768" max="11768" width="19" style="103" customWidth="1"/>
    <col min="11769" max="11769" width="15.375" style="103" customWidth="1"/>
    <col min="11770" max="11770" width="14.5" style="103" customWidth="1"/>
    <col min="11771" max="11771" width="19.75" style="103" customWidth="1"/>
    <col min="11772" max="11772" width="20.5" style="103" customWidth="1"/>
    <col min="11773" max="11773" width="15.25" style="103" customWidth="1"/>
    <col min="11774" max="11774" width="15.625" style="103" customWidth="1"/>
    <col min="11775" max="11775" width="15.625" style="103" bestFit="1" customWidth="1"/>
    <col min="11776" max="11776" width="14.875" style="103" customWidth="1"/>
    <col min="11777" max="11777" width="15.625" style="103" bestFit="1" customWidth="1"/>
    <col min="11778" max="11778" width="15" style="103" customWidth="1"/>
    <col min="11779" max="11779" width="15.625" style="103" bestFit="1" customWidth="1"/>
    <col min="11780" max="11780" width="15.875" style="103" customWidth="1"/>
    <col min="11781" max="11781" width="16.25" style="103" customWidth="1"/>
    <col min="11782" max="11782" width="16.75" style="103" customWidth="1"/>
    <col min="11783" max="11783" width="14.875" style="103" customWidth="1"/>
    <col min="11784" max="11784" width="19.625" style="103" bestFit="1" customWidth="1"/>
    <col min="11785" max="11785" width="21.875" style="103" customWidth="1"/>
    <col min="11786" max="12022" width="11" style="103"/>
    <col min="12023" max="12023" width="51" style="103" customWidth="1"/>
    <col min="12024" max="12024" width="19" style="103" customWidth="1"/>
    <col min="12025" max="12025" width="15.375" style="103" customWidth="1"/>
    <col min="12026" max="12026" width="14.5" style="103" customWidth="1"/>
    <col min="12027" max="12027" width="19.75" style="103" customWidth="1"/>
    <col min="12028" max="12028" width="20.5" style="103" customWidth="1"/>
    <col min="12029" max="12029" width="15.25" style="103" customWidth="1"/>
    <col min="12030" max="12030" width="15.625" style="103" customWidth="1"/>
    <col min="12031" max="12031" width="15.625" style="103" bestFit="1" customWidth="1"/>
    <col min="12032" max="12032" width="14.875" style="103" customWidth="1"/>
    <col min="12033" max="12033" width="15.625" style="103" bestFit="1" customWidth="1"/>
    <col min="12034" max="12034" width="15" style="103" customWidth="1"/>
    <col min="12035" max="12035" width="15.625" style="103" bestFit="1" customWidth="1"/>
    <col min="12036" max="12036" width="15.875" style="103" customWidth="1"/>
    <col min="12037" max="12037" width="16.25" style="103" customWidth="1"/>
    <col min="12038" max="12038" width="16.75" style="103" customWidth="1"/>
    <col min="12039" max="12039" width="14.875" style="103" customWidth="1"/>
    <col min="12040" max="12040" width="19.625" style="103" bestFit="1" customWidth="1"/>
    <col min="12041" max="12041" width="21.875" style="103" customWidth="1"/>
    <col min="12042" max="12278" width="11" style="103"/>
    <col min="12279" max="12279" width="51" style="103" customWidth="1"/>
    <col min="12280" max="12280" width="19" style="103" customWidth="1"/>
    <col min="12281" max="12281" width="15.375" style="103" customWidth="1"/>
    <col min="12282" max="12282" width="14.5" style="103" customWidth="1"/>
    <col min="12283" max="12283" width="19.75" style="103" customWidth="1"/>
    <col min="12284" max="12284" width="20.5" style="103" customWidth="1"/>
    <col min="12285" max="12285" width="15.25" style="103" customWidth="1"/>
    <col min="12286" max="12286" width="15.625" style="103" customWidth="1"/>
    <col min="12287" max="12287" width="15.625" style="103" bestFit="1" customWidth="1"/>
    <col min="12288" max="12288" width="14.875" style="103" customWidth="1"/>
    <col min="12289" max="12289" width="15.625" style="103" bestFit="1" customWidth="1"/>
    <col min="12290" max="12290" width="15" style="103" customWidth="1"/>
    <col min="12291" max="12291" width="15.625" style="103" bestFit="1" customWidth="1"/>
    <col min="12292" max="12292" width="15.875" style="103" customWidth="1"/>
    <col min="12293" max="12293" width="16.25" style="103" customWidth="1"/>
    <col min="12294" max="12294" width="16.75" style="103" customWidth="1"/>
    <col min="12295" max="12295" width="14.875" style="103" customWidth="1"/>
    <col min="12296" max="12296" width="19.625" style="103" bestFit="1" customWidth="1"/>
    <col min="12297" max="12297" width="21.875" style="103" customWidth="1"/>
    <col min="12298" max="12534" width="11" style="103"/>
    <col min="12535" max="12535" width="51" style="103" customWidth="1"/>
    <col min="12536" max="12536" width="19" style="103" customWidth="1"/>
    <col min="12537" max="12537" width="15.375" style="103" customWidth="1"/>
    <col min="12538" max="12538" width="14.5" style="103" customWidth="1"/>
    <col min="12539" max="12539" width="19.75" style="103" customWidth="1"/>
    <col min="12540" max="12540" width="20.5" style="103" customWidth="1"/>
    <col min="12541" max="12541" width="15.25" style="103" customWidth="1"/>
    <col min="12542" max="12542" width="15.625" style="103" customWidth="1"/>
    <col min="12543" max="12543" width="15.625" style="103" bestFit="1" customWidth="1"/>
    <col min="12544" max="12544" width="14.875" style="103" customWidth="1"/>
    <col min="12545" max="12545" width="15.625" style="103" bestFit="1" customWidth="1"/>
    <col min="12546" max="12546" width="15" style="103" customWidth="1"/>
    <col min="12547" max="12547" width="15.625" style="103" bestFit="1" customWidth="1"/>
    <col min="12548" max="12548" width="15.875" style="103" customWidth="1"/>
    <col min="12549" max="12549" width="16.25" style="103" customWidth="1"/>
    <col min="12550" max="12550" width="16.75" style="103" customWidth="1"/>
    <col min="12551" max="12551" width="14.875" style="103" customWidth="1"/>
    <col min="12552" max="12552" width="19.625" style="103" bestFit="1" customWidth="1"/>
    <col min="12553" max="12553" width="21.875" style="103" customWidth="1"/>
    <col min="12554" max="12790" width="11" style="103"/>
    <col min="12791" max="12791" width="51" style="103" customWidth="1"/>
    <col min="12792" max="12792" width="19" style="103" customWidth="1"/>
    <col min="12793" max="12793" width="15.375" style="103" customWidth="1"/>
    <col min="12794" max="12794" width="14.5" style="103" customWidth="1"/>
    <col min="12795" max="12795" width="19.75" style="103" customWidth="1"/>
    <col min="12796" max="12796" width="20.5" style="103" customWidth="1"/>
    <col min="12797" max="12797" width="15.25" style="103" customWidth="1"/>
    <col min="12798" max="12798" width="15.625" style="103" customWidth="1"/>
    <col min="12799" max="12799" width="15.625" style="103" bestFit="1" customWidth="1"/>
    <col min="12800" max="12800" width="14.875" style="103" customWidth="1"/>
    <col min="12801" max="12801" width="15.625" style="103" bestFit="1" customWidth="1"/>
    <col min="12802" max="12802" width="15" style="103" customWidth="1"/>
    <col min="12803" max="12803" width="15.625" style="103" bestFit="1" customWidth="1"/>
    <col min="12804" max="12804" width="15.875" style="103" customWidth="1"/>
    <col min="12805" max="12805" width="16.25" style="103" customWidth="1"/>
    <col min="12806" max="12806" width="16.75" style="103" customWidth="1"/>
    <col min="12807" max="12807" width="14.875" style="103" customWidth="1"/>
    <col min="12808" max="12808" width="19.625" style="103" bestFit="1" customWidth="1"/>
    <col min="12809" max="12809" width="21.875" style="103" customWidth="1"/>
    <col min="12810" max="13046" width="11" style="103"/>
    <col min="13047" max="13047" width="51" style="103" customWidth="1"/>
    <col min="13048" max="13048" width="19" style="103" customWidth="1"/>
    <col min="13049" max="13049" width="15.375" style="103" customWidth="1"/>
    <col min="13050" max="13050" width="14.5" style="103" customWidth="1"/>
    <col min="13051" max="13051" width="19.75" style="103" customWidth="1"/>
    <col min="13052" max="13052" width="20.5" style="103" customWidth="1"/>
    <col min="13053" max="13053" width="15.25" style="103" customWidth="1"/>
    <col min="13054" max="13054" width="15.625" style="103" customWidth="1"/>
    <col min="13055" max="13055" width="15.625" style="103" bestFit="1" customWidth="1"/>
    <col min="13056" max="13056" width="14.875" style="103" customWidth="1"/>
    <col min="13057" max="13057" width="15.625" style="103" bestFit="1" customWidth="1"/>
    <col min="13058" max="13058" width="15" style="103" customWidth="1"/>
    <col min="13059" max="13059" width="15.625" style="103" bestFit="1" customWidth="1"/>
    <col min="13060" max="13060" width="15.875" style="103" customWidth="1"/>
    <col min="13061" max="13061" width="16.25" style="103" customWidth="1"/>
    <col min="13062" max="13062" width="16.75" style="103" customWidth="1"/>
    <col min="13063" max="13063" width="14.875" style="103" customWidth="1"/>
    <col min="13064" max="13064" width="19.625" style="103" bestFit="1" customWidth="1"/>
    <col min="13065" max="13065" width="21.875" style="103" customWidth="1"/>
    <col min="13066" max="13302" width="11" style="103"/>
    <col min="13303" max="13303" width="51" style="103" customWidth="1"/>
    <col min="13304" max="13304" width="19" style="103" customWidth="1"/>
    <col min="13305" max="13305" width="15.375" style="103" customWidth="1"/>
    <col min="13306" max="13306" width="14.5" style="103" customWidth="1"/>
    <col min="13307" max="13307" width="19.75" style="103" customWidth="1"/>
    <col min="13308" max="13308" width="20.5" style="103" customWidth="1"/>
    <col min="13309" max="13309" width="15.25" style="103" customWidth="1"/>
    <col min="13310" max="13310" width="15.625" style="103" customWidth="1"/>
    <col min="13311" max="13311" width="15.625" style="103" bestFit="1" customWidth="1"/>
    <col min="13312" max="13312" width="14.875" style="103" customWidth="1"/>
    <col min="13313" max="13313" width="15.625" style="103" bestFit="1" customWidth="1"/>
    <col min="13314" max="13314" width="15" style="103" customWidth="1"/>
    <col min="13315" max="13315" width="15.625" style="103" bestFit="1" customWidth="1"/>
    <col min="13316" max="13316" width="15.875" style="103" customWidth="1"/>
    <col min="13317" max="13317" width="16.25" style="103" customWidth="1"/>
    <col min="13318" max="13318" width="16.75" style="103" customWidth="1"/>
    <col min="13319" max="13319" width="14.875" style="103" customWidth="1"/>
    <col min="13320" max="13320" width="19.625" style="103" bestFit="1" customWidth="1"/>
    <col min="13321" max="13321" width="21.875" style="103" customWidth="1"/>
    <col min="13322" max="13558" width="11" style="103"/>
    <col min="13559" max="13559" width="51" style="103" customWidth="1"/>
    <col min="13560" max="13560" width="19" style="103" customWidth="1"/>
    <col min="13561" max="13561" width="15.375" style="103" customWidth="1"/>
    <col min="13562" max="13562" width="14.5" style="103" customWidth="1"/>
    <col min="13563" max="13563" width="19.75" style="103" customWidth="1"/>
    <col min="13564" max="13564" width="20.5" style="103" customWidth="1"/>
    <col min="13565" max="13565" width="15.25" style="103" customWidth="1"/>
    <col min="13566" max="13566" width="15.625" style="103" customWidth="1"/>
    <col min="13567" max="13567" width="15.625" style="103" bestFit="1" customWidth="1"/>
    <col min="13568" max="13568" width="14.875" style="103" customWidth="1"/>
    <col min="13569" max="13569" width="15.625" style="103" bestFit="1" customWidth="1"/>
    <col min="13570" max="13570" width="15" style="103" customWidth="1"/>
    <col min="13571" max="13571" width="15.625" style="103" bestFit="1" customWidth="1"/>
    <col min="13572" max="13572" width="15.875" style="103" customWidth="1"/>
    <col min="13573" max="13573" width="16.25" style="103" customWidth="1"/>
    <col min="13574" max="13574" width="16.75" style="103" customWidth="1"/>
    <col min="13575" max="13575" width="14.875" style="103" customWidth="1"/>
    <col min="13576" max="13576" width="19.625" style="103" bestFit="1" customWidth="1"/>
    <col min="13577" max="13577" width="21.875" style="103" customWidth="1"/>
    <col min="13578" max="13814" width="11" style="103"/>
    <col min="13815" max="13815" width="51" style="103" customWidth="1"/>
    <col min="13816" max="13816" width="19" style="103" customWidth="1"/>
    <col min="13817" max="13817" width="15.375" style="103" customWidth="1"/>
    <col min="13818" max="13818" width="14.5" style="103" customWidth="1"/>
    <col min="13819" max="13819" width="19.75" style="103" customWidth="1"/>
    <col min="13820" max="13820" width="20.5" style="103" customWidth="1"/>
    <col min="13821" max="13821" width="15.25" style="103" customWidth="1"/>
    <col min="13822" max="13822" width="15.625" style="103" customWidth="1"/>
    <col min="13823" max="13823" width="15.625" style="103" bestFit="1" customWidth="1"/>
    <col min="13824" max="13824" width="14.875" style="103" customWidth="1"/>
    <col min="13825" max="13825" width="15.625" style="103" bestFit="1" customWidth="1"/>
    <col min="13826" max="13826" width="15" style="103" customWidth="1"/>
    <col min="13827" max="13827" width="15.625" style="103" bestFit="1" customWidth="1"/>
    <col min="13828" max="13828" width="15.875" style="103" customWidth="1"/>
    <col min="13829" max="13829" width="16.25" style="103" customWidth="1"/>
    <col min="13830" max="13830" width="16.75" style="103" customWidth="1"/>
    <col min="13831" max="13831" width="14.875" style="103" customWidth="1"/>
    <col min="13832" max="13832" width="19.625" style="103" bestFit="1" customWidth="1"/>
    <col min="13833" max="13833" width="21.875" style="103" customWidth="1"/>
    <col min="13834" max="14070" width="11" style="103"/>
    <col min="14071" max="14071" width="51" style="103" customWidth="1"/>
    <col min="14072" max="14072" width="19" style="103" customWidth="1"/>
    <col min="14073" max="14073" width="15.375" style="103" customWidth="1"/>
    <col min="14074" max="14074" width="14.5" style="103" customWidth="1"/>
    <col min="14075" max="14075" width="19.75" style="103" customWidth="1"/>
    <col min="14076" max="14076" width="20.5" style="103" customWidth="1"/>
    <col min="14077" max="14077" width="15.25" style="103" customWidth="1"/>
    <col min="14078" max="14078" width="15.625" style="103" customWidth="1"/>
    <col min="14079" max="14079" width="15.625" style="103" bestFit="1" customWidth="1"/>
    <col min="14080" max="14080" width="14.875" style="103" customWidth="1"/>
    <col min="14081" max="14081" width="15.625" style="103" bestFit="1" customWidth="1"/>
    <col min="14082" max="14082" width="15" style="103" customWidth="1"/>
    <col min="14083" max="14083" width="15.625" style="103" bestFit="1" customWidth="1"/>
    <col min="14084" max="14084" width="15.875" style="103" customWidth="1"/>
    <col min="14085" max="14085" width="16.25" style="103" customWidth="1"/>
    <col min="14086" max="14086" width="16.75" style="103" customWidth="1"/>
    <col min="14087" max="14087" width="14.875" style="103" customWidth="1"/>
    <col min="14088" max="14088" width="19.625" style="103" bestFit="1" customWidth="1"/>
    <col min="14089" max="14089" width="21.875" style="103" customWidth="1"/>
    <col min="14090" max="14326" width="11" style="103"/>
    <col min="14327" max="14327" width="51" style="103" customWidth="1"/>
    <col min="14328" max="14328" width="19" style="103" customWidth="1"/>
    <col min="14329" max="14329" width="15.375" style="103" customWidth="1"/>
    <col min="14330" max="14330" width="14.5" style="103" customWidth="1"/>
    <col min="14331" max="14331" width="19.75" style="103" customWidth="1"/>
    <col min="14332" max="14332" width="20.5" style="103" customWidth="1"/>
    <col min="14333" max="14333" width="15.25" style="103" customWidth="1"/>
    <col min="14334" max="14334" width="15.625" style="103" customWidth="1"/>
    <col min="14335" max="14335" width="15.625" style="103" bestFit="1" customWidth="1"/>
    <col min="14336" max="14336" width="14.875" style="103" customWidth="1"/>
    <col min="14337" max="14337" width="15.625" style="103" bestFit="1" customWidth="1"/>
    <col min="14338" max="14338" width="15" style="103" customWidth="1"/>
    <col min="14339" max="14339" width="15.625" style="103" bestFit="1" customWidth="1"/>
    <col min="14340" max="14340" width="15.875" style="103" customWidth="1"/>
    <col min="14341" max="14341" width="16.25" style="103" customWidth="1"/>
    <col min="14342" max="14342" width="16.75" style="103" customWidth="1"/>
    <col min="14343" max="14343" width="14.875" style="103" customWidth="1"/>
    <col min="14344" max="14344" width="19.625" style="103" bestFit="1" customWidth="1"/>
    <col min="14345" max="14345" width="21.875" style="103" customWidth="1"/>
    <col min="14346" max="14582" width="11" style="103"/>
    <col min="14583" max="14583" width="51" style="103" customWidth="1"/>
    <col min="14584" max="14584" width="19" style="103" customWidth="1"/>
    <col min="14585" max="14585" width="15.375" style="103" customWidth="1"/>
    <col min="14586" max="14586" width="14.5" style="103" customWidth="1"/>
    <col min="14587" max="14587" width="19.75" style="103" customWidth="1"/>
    <col min="14588" max="14588" width="20.5" style="103" customWidth="1"/>
    <col min="14589" max="14589" width="15.25" style="103" customWidth="1"/>
    <col min="14590" max="14590" width="15.625" style="103" customWidth="1"/>
    <col min="14591" max="14591" width="15.625" style="103" bestFit="1" customWidth="1"/>
    <col min="14592" max="14592" width="14.875" style="103" customWidth="1"/>
    <col min="14593" max="14593" width="15.625" style="103" bestFit="1" customWidth="1"/>
    <col min="14594" max="14594" width="15" style="103" customWidth="1"/>
    <col min="14595" max="14595" width="15.625" style="103" bestFit="1" customWidth="1"/>
    <col min="14596" max="14596" width="15.875" style="103" customWidth="1"/>
    <col min="14597" max="14597" width="16.25" style="103" customWidth="1"/>
    <col min="14598" max="14598" width="16.75" style="103" customWidth="1"/>
    <col min="14599" max="14599" width="14.875" style="103" customWidth="1"/>
    <col min="14600" max="14600" width="19.625" style="103" bestFit="1" customWidth="1"/>
    <col min="14601" max="14601" width="21.875" style="103" customWidth="1"/>
    <col min="14602" max="14838" width="11" style="103"/>
    <col min="14839" max="14839" width="51" style="103" customWidth="1"/>
    <col min="14840" max="14840" width="19" style="103" customWidth="1"/>
    <col min="14841" max="14841" width="15.375" style="103" customWidth="1"/>
    <col min="14842" max="14842" width="14.5" style="103" customWidth="1"/>
    <col min="14843" max="14843" width="19.75" style="103" customWidth="1"/>
    <col min="14844" max="14844" width="20.5" style="103" customWidth="1"/>
    <col min="14845" max="14845" width="15.25" style="103" customWidth="1"/>
    <col min="14846" max="14846" width="15.625" style="103" customWidth="1"/>
    <col min="14847" max="14847" width="15.625" style="103" bestFit="1" customWidth="1"/>
    <col min="14848" max="14848" width="14.875" style="103" customWidth="1"/>
    <col min="14849" max="14849" width="15.625" style="103" bestFit="1" customWidth="1"/>
    <col min="14850" max="14850" width="15" style="103" customWidth="1"/>
    <col min="14851" max="14851" width="15.625" style="103" bestFit="1" customWidth="1"/>
    <col min="14852" max="14852" width="15.875" style="103" customWidth="1"/>
    <col min="14853" max="14853" width="16.25" style="103" customWidth="1"/>
    <col min="14854" max="14854" width="16.75" style="103" customWidth="1"/>
    <col min="14855" max="14855" width="14.875" style="103" customWidth="1"/>
    <col min="14856" max="14856" width="19.625" style="103" bestFit="1" customWidth="1"/>
    <col min="14857" max="14857" width="21.875" style="103" customWidth="1"/>
    <col min="14858" max="15094" width="11" style="103"/>
    <col min="15095" max="15095" width="51" style="103" customWidth="1"/>
    <col min="15096" max="15096" width="19" style="103" customWidth="1"/>
    <col min="15097" max="15097" width="15.375" style="103" customWidth="1"/>
    <col min="15098" max="15098" width="14.5" style="103" customWidth="1"/>
    <col min="15099" max="15099" width="19.75" style="103" customWidth="1"/>
    <col min="15100" max="15100" width="20.5" style="103" customWidth="1"/>
    <col min="15101" max="15101" width="15.25" style="103" customWidth="1"/>
    <col min="15102" max="15102" width="15.625" style="103" customWidth="1"/>
    <col min="15103" max="15103" width="15.625" style="103" bestFit="1" customWidth="1"/>
    <col min="15104" max="15104" width="14.875" style="103" customWidth="1"/>
    <col min="15105" max="15105" width="15.625" style="103" bestFit="1" customWidth="1"/>
    <col min="15106" max="15106" width="15" style="103" customWidth="1"/>
    <col min="15107" max="15107" width="15.625" style="103" bestFit="1" customWidth="1"/>
    <col min="15108" max="15108" width="15.875" style="103" customWidth="1"/>
    <col min="15109" max="15109" width="16.25" style="103" customWidth="1"/>
    <col min="15110" max="15110" width="16.75" style="103" customWidth="1"/>
    <col min="15111" max="15111" width="14.875" style="103" customWidth="1"/>
    <col min="15112" max="15112" width="19.625" style="103" bestFit="1" customWidth="1"/>
    <col min="15113" max="15113" width="21.875" style="103" customWidth="1"/>
    <col min="15114" max="15350" width="11" style="103"/>
    <col min="15351" max="15351" width="51" style="103" customWidth="1"/>
    <col min="15352" max="15352" width="19" style="103" customWidth="1"/>
    <col min="15353" max="15353" width="15.375" style="103" customWidth="1"/>
    <col min="15354" max="15354" width="14.5" style="103" customWidth="1"/>
    <col min="15355" max="15355" width="19.75" style="103" customWidth="1"/>
    <col min="15356" max="15356" width="20.5" style="103" customWidth="1"/>
    <col min="15357" max="15357" width="15.25" style="103" customWidth="1"/>
    <col min="15358" max="15358" width="15.625" style="103" customWidth="1"/>
    <col min="15359" max="15359" width="15.625" style="103" bestFit="1" customWidth="1"/>
    <col min="15360" max="15360" width="14.875" style="103" customWidth="1"/>
    <col min="15361" max="15361" width="15.625" style="103" bestFit="1" customWidth="1"/>
    <col min="15362" max="15362" width="15" style="103" customWidth="1"/>
    <col min="15363" max="15363" width="15.625" style="103" bestFit="1" customWidth="1"/>
    <col min="15364" max="15364" width="15.875" style="103" customWidth="1"/>
    <col min="15365" max="15365" width="16.25" style="103" customWidth="1"/>
    <col min="15366" max="15366" width="16.75" style="103" customWidth="1"/>
    <col min="15367" max="15367" width="14.875" style="103" customWidth="1"/>
    <col min="15368" max="15368" width="19.625" style="103" bestFit="1" customWidth="1"/>
    <col min="15369" max="15369" width="21.875" style="103" customWidth="1"/>
    <col min="15370" max="15606" width="11" style="103"/>
    <col min="15607" max="15607" width="51" style="103" customWidth="1"/>
    <col min="15608" max="15608" width="19" style="103" customWidth="1"/>
    <col min="15609" max="15609" width="15.375" style="103" customWidth="1"/>
    <col min="15610" max="15610" width="14.5" style="103" customWidth="1"/>
    <col min="15611" max="15611" width="19.75" style="103" customWidth="1"/>
    <col min="15612" max="15612" width="20.5" style="103" customWidth="1"/>
    <col min="15613" max="15613" width="15.25" style="103" customWidth="1"/>
    <col min="15614" max="15614" width="15.625" style="103" customWidth="1"/>
    <col min="15615" max="15615" width="15.625" style="103" bestFit="1" customWidth="1"/>
    <col min="15616" max="15616" width="14.875" style="103" customWidth="1"/>
    <col min="15617" max="15617" width="15.625" style="103" bestFit="1" customWidth="1"/>
    <col min="15618" max="15618" width="15" style="103" customWidth="1"/>
    <col min="15619" max="15619" width="15.625" style="103" bestFit="1" customWidth="1"/>
    <col min="15620" max="15620" width="15.875" style="103" customWidth="1"/>
    <col min="15621" max="15621" width="16.25" style="103" customWidth="1"/>
    <col min="15622" max="15622" width="16.75" style="103" customWidth="1"/>
    <col min="15623" max="15623" width="14.875" style="103" customWidth="1"/>
    <col min="15624" max="15624" width="19.625" style="103" bestFit="1" customWidth="1"/>
    <col min="15625" max="15625" width="21.875" style="103" customWidth="1"/>
    <col min="15626" max="15862" width="11" style="103"/>
    <col min="15863" max="15863" width="51" style="103" customWidth="1"/>
    <col min="15864" max="15864" width="19" style="103" customWidth="1"/>
    <col min="15865" max="15865" width="15.375" style="103" customWidth="1"/>
    <col min="15866" max="15866" width="14.5" style="103" customWidth="1"/>
    <col min="15867" max="15867" width="19.75" style="103" customWidth="1"/>
    <col min="15868" max="15868" width="20.5" style="103" customWidth="1"/>
    <col min="15869" max="15869" width="15.25" style="103" customWidth="1"/>
    <col min="15870" max="15870" width="15.625" style="103" customWidth="1"/>
    <col min="15871" max="15871" width="15.625" style="103" bestFit="1" customWidth="1"/>
    <col min="15872" max="15872" width="14.875" style="103" customWidth="1"/>
    <col min="15873" max="15873" width="15.625" style="103" bestFit="1" customWidth="1"/>
    <col min="15874" max="15874" width="15" style="103" customWidth="1"/>
    <col min="15875" max="15875" width="15.625" style="103" bestFit="1" customWidth="1"/>
    <col min="15876" max="15876" width="15.875" style="103" customWidth="1"/>
    <col min="15877" max="15877" width="16.25" style="103" customWidth="1"/>
    <col min="15878" max="15878" width="16.75" style="103" customWidth="1"/>
    <col min="15879" max="15879" width="14.875" style="103" customWidth="1"/>
    <col min="15880" max="15880" width="19.625" style="103" bestFit="1" customWidth="1"/>
    <col min="15881" max="15881" width="21.875" style="103" customWidth="1"/>
    <col min="15882" max="16118" width="11" style="103"/>
    <col min="16119" max="16119" width="51" style="103" customWidth="1"/>
    <col min="16120" max="16120" width="19" style="103" customWidth="1"/>
    <col min="16121" max="16121" width="15.375" style="103" customWidth="1"/>
    <col min="16122" max="16122" width="14.5" style="103" customWidth="1"/>
    <col min="16123" max="16123" width="19.75" style="103" customWidth="1"/>
    <col min="16124" max="16124" width="20.5" style="103" customWidth="1"/>
    <col min="16125" max="16125" width="15.25" style="103" customWidth="1"/>
    <col min="16126" max="16126" width="15.625" style="103" customWidth="1"/>
    <col min="16127" max="16127" width="15.625" style="103" bestFit="1" customWidth="1"/>
    <col min="16128" max="16128" width="14.875" style="103" customWidth="1"/>
    <col min="16129" max="16129" width="15.625" style="103" bestFit="1" customWidth="1"/>
    <col min="16130" max="16130" width="15" style="103" customWidth="1"/>
    <col min="16131" max="16131" width="15.625" style="103" bestFit="1" customWidth="1"/>
    <col min="16132" max="16132" width="15.875" style="103" customWidth="1"/>
    <col min="16133" max="16133" width="16.25" style="103" customWidth="1"/>
    <col min="16134" max="16134" width="16.75" style="103" customWidth="1"/>
    <col min="16135" max="16135" width="14.875" style="103" customWidth="1"/>
    <col min="16136" max="16136" width="19.625" style="103" bestFit="1" customWidth="1"/>
    <col min="16137" max="16137" width="21.875" style="103" customWidth="1"/>
    <col min="16138" max="16384" width="11" style="103"/>
  </cols>
  <sheetData>
    <row r="1" spans="2:11" s="207" customFormat="1" ht="36.75" customHeight="1" x14ac:dyDescent="0.25">
      <c r="B1" s="261"/>
      <c r="C1" s="262"/>
      <c r="D1" s="263" t="s">
        <v>3</v>
      </c>
      <c r="E1" s="264" t="s">
        <v>168</v>
      </c>
      <c r="F1" s="264" t="s">
        <v>122</v>
      </c>
      <c r="G1" s="264" t="s">
        <v>7</v>
      </c>
      <c r="H1" s="264" t="s">
        <v>170</v>
      </c>
      <c r="I1" s="264" t="s">
        <v>169</v>
      </c>
      <c r="J1" s="265" t="s">
        <v>221</v>
      </c>
      <c r="K1" s="266" t="s">
        <v>166</v>
      </c>
    </row>
    <row r="2" spans="2:11" s="207" customFormat="1" ht="36.75" customHeight="1" x14ac:dyDescent="0.2">
      <c r="B2" s="257"/>
      <c r="C2" s="258"/>
      <c r="D2" s="259"/>
      <c r="E2" s="260">
        <f t="shared" ref="E2:J2" si="0">E3+E109+E127+E400+E438+E559</f>
        <v>973593065.91321981</v>
      </c>
      <c r="F2" s="260">
        <f t="shared" si="0"/>
        <v>169610765</v>
      </c>
      <c r="G2" s="260">
        <f t="shared" si="0"/>
        <v>30281983</v>
      </c>
      <c r="H2" s="260">
        <f t="shared" si="0"/>
        <v>29281983</v>
      </c>
      <c r="I2" s="260">
        <f t="shared" si="0"/>
        <v>1143253830.8999999</v>
      </c>
      <c r="J2" s="260">
        <f t="shared" si="0"/>
        <v>520422089</v>
      </c>
      <c r="K2" s="260">
        <f>I2-J2</f>
        <v>622831741.89999986</v>
      </c>
    </row>
    <row r="3" spans="2:11" ht="36.75" customHeight="1" x14ac:dyDescent="0.2">
      <c r="B3" s="252" t="s">
        <v>167</v>
      </c>
      <c r="C3" s="249" t="s">
        <v>20</v>
      </c>
      <c r="D3" s="256" t="s">
        <v>21</v>
      </c>
      <c r="E3" s="253">
        <f>SUM(E4:E101)</f>
        <v>657894826.91321981</v>
      </c>
      <c r="F3" s="254">
        <f>F4+F19+F36+F21+F50+F63+F71+F86+F101</f>
        <v>27610765</v>
      </c>
      <c r="G3" s="254">
        <f t="shared" ref="G3:H3" si="1">G4+G19+G36+G21+G50+G63+G71+G86+G101</f>
        <v>0</v>
      </c>
      <c r="H3" s="254">
        <f t="shared" si="1"/>
        <v>29281983</v>
      </c>
      <c r="I3" s="253">
        <f>SUM(I4:I101)</f>
        <v>656223608.89999986</v>
      </c>
      <c r="J3" s="253">
        <f>SUM(J4:J101)</f>
        <v>342948734</v>
      </c>
      <c r="K3" s="255">
        <f>+K4+K19+K21+K36+K50+K63+K71+K86+K101+K110+K125+K126</f>
        <v>490417141.89999992</v>
      </c>
    </row>
    <row r="4" spans="2:11" ht="15.75" x14ac:dyDescent="0.25">
      <c r="B4" s="238"/>
      <c r="C4" s="239" t="s">
        <v>22</v>
      </c>
      <c r="D4" s="240" t="s">
        <v>23</v>
      </c>
      <c r="E4" s="241">
        <f>ROUND(510496564.207404,1)</f>
        <v>510496564.19999999</v>
      </c>
      <c r="F4" s="242">
        <f>SUM(F5:F17)</f>
        <v>27610765</v>
      </c>
      <c r="G4" s="242">
        <f t="shared" ref="G4:H4" si="2">SUM(G5:G17)</f>
        <v>0</v>
      </c>
      <c r="H4" s="242">
        <f t="shared" si="2"/>
        <v>29281983</v>
      </c>
      <c r="I4" s="243">
        <f>ROUND((E4+F4+G4-H4),1)</f>
        <v>508825346.19999999</v>
      </c>
      <c r="J4" s="244">
        <f>SUM(J5:J16)</f>
        <v>161630742</v>
      </c>
      <c r="K4" s="245">
        <f>I4-J4</f>
        <v>347194604.19999999</v>
      </c>
    </row>
    <row r="5" spans="2:11" x14ac:dyDescent="0.2">
      <c r="B5" s="293">
        <v>42745</v>
      </c>
      <c r="C5" s="148"/>
      <c r="D5" s="230" t="s">
        <v>185</v>
      </c>
      <c r="E5" s="215"/>
      <c r="F5" s="216"/>
      <c r="G5" s="99"/>
      <c r="H5" s="128">
        <v>28650007</v>
      </c>
      <c r="I5" s="129"/>
      <c r="J5" s="111"/>
      <c r="K5" s="231"/>
    </row>
    <row r="6" spans="2:11" x14ac:dyDescent="0.2">
      <c r="B6" s="293">
        <v>43124</v>
      </c>
      <c r="C6" s="305"/>
      <c r="D6" s="214" t="s">
        <v>184</v>
      </c>
      <c r="E6" s="214"/>
      <c r="F6" s="216">
        <v>27610765</v>
      </c>
      <c r="G6" s="99"/>
      <c r="H6" s="128"/>
      <c r="I6" s="214"/>
      <c r="J6" s="214"/>
      <c r="K6" s="231"/>
    </row>
    <row r="7" spans="2:11" x14ac:dyDescent="0.2">
      <c r="B7" s="293">
        <v>43310</v>
      </c>
      <c r="C7" s="148"/>
      <c r="D7" s="230" t="s">
        <v>183</v>
      </c>
      <c r="E7" s="215"/>
      <c r="F7" s="216"/>
      <c r="G7" s="99"/>
      <c r="H7" s="128"/>
      <c r="I7" s="129"/>
      <c r="J7" s="111">
        <v>33440088</v>
      </c>
      <c r="K7" s="231"/>
    </row>
    <row r="8" spans="2:11" x14ac:dyDescent="0.2">
      <c r="B8" s="293">
        <v>43157</v>
      </c>
      <c r="C8" s="148"/>
      <c r="D8" s="230" t="s">
        <v>200</v>
      </c>
      <c r="E8" s="215"/>
      <c r="F8" s="216"/>
      <c r="G8" s="99"/>
      <c r="H8" s="128"/>
      <c r="I8" s="129"/>
      <c r="J8" s="111">
        <v>39390167</v>
      </c>
      <c r="K8" s="231"/>
    </row>
    <row r="9" spans="2:11" x14ac:dyDescent="0.2">
      <c r="B9" s="293">
        <v>43171</v>
      </c>
      <c r="C9" s="148"/>
      <c r="D9" s="230" t="s">
        <v>213</v>
      </c>
      <c r="E9" s="215"/>
      <c r="F9" s="216"/>
      <c r="G9" s="99"/>
      <c r="H9" s="128">
        <v>631976</v>
      </c>
      <c r="I9" s="129"/>
      <c r="J9" s="111"/>
      <c r="K9" s="231"/>
    </row>
    <row r="10" spans="2:11" x14ac:dyDescent="0.2">
      <c r="B10" s="293">
        <v>43181</v>
      </c>
      <c r="C10" s="148"/>
      <c r="D10" s="230" t="s">
        <v>210</v>
      </c>
      <c r="E10" s="215"/>
      <c r="F10" s="216"/>
      <c r="G10" s="99"/>
      <c r="H10" s="128"/>
      <c r="I10" s="129"/>
      <c r="J10" s="111">
        <v>46905281</v>
      </c>
      <c r="K10" s="231"/>
    </row>
    <row r="11" spans="2:11" x14ac:dyDescent="0.2">
      <c r="B11" s="293">
        <v>43215</v>
      </c>
      <c r="C11" s="148"/>
      <c r="D11" s="230" t="s">
        <v>128</v>
      </c>
      <c r="E11" s="215"/>
      <c r="F11" s="216"/>
      <c r="G11" s="99"/>
      <c r="H11" s="128"/>
      <c r="I11" s="129"/>
      <c r="J11" s="111">
        <v>41895206</v>
      </c>
      <c r="K11" s="231"/>
    </row>
    <row r="12" spans="2:11" x14ac:dyDescent="0.2">
      <c r="B12" s="214"/>
      <c r="C12" s="148"/>
      <c r="D12" s="230"/>
      <c r="E12" s="215"/>
      <c r="F12" s="216"/>
      <c r="G12" s="99"/>
      <c r="H12" s="128"/>
      <c r="I12" s="129"/>
      <c r="J12" s="111"/>
      <c r="K12" s="231"/>
    </row>
    <row r="13" spans="2:11" x14ac:dyDescent="0.2">
      <c r="B13" s="214"/>
      <c r="C13" s="148"/>
      <c r="D13" s="230"/>
      <c r="E13" s="215"/>
      <c r="F13" s="216"/>
      <c r="G13" s="99"/>
      <c r="H13" s="128"/>
      <c r="I13" s="129"/>
      <c r="J13" s="111"/>
      <c r="K13" s="231"/>
    </row>
    <row r="14" spans="2:11" x14ac:dyDescent="0.2">
      <c r="B14" s="214"/>
      <c r="C14" s="148"/>
      <c r="D14" s="230"/>
      <c r="E14" s="215"/>
      <c r="F14" s="216"/>
      <c r="G14" s="99"/>
      <c r="H14" s="128"/>
      <c r="I14" s="129"/>
      <c r="J14" s="111"/>
      <c r="K14" s="231"/>
    </row>
    <row r="15" spans="2:11" x14ac:dyDescent="0.2">
      <c r="B15" s="214"/>
      <c r="C15" s="148"/>
      <c r="D15" s="230"/>
      <c r="E15" s="215"/>
      <c r="F15" s="216"/>
      <c r="G15" s="99"/>
      <c r="H15" s="128"/>
      <c r="I15" s="129"/>
      <c r="J15" s="111"/>
      <c r="K15" s="231"/>
    </row>
    <row r="16" spans="2:11" x14ac:dyDescent="0.2">
      <c r="B16" s="214"/>
      <c r="C16" s="148"/>
      <c r="D16" s="230"/>
      <c r="E16" s="215"/>
      <c r="F16" s="216"/>
      <c r="G16" s="99"/>
      <c r="H16" s="128"/>
      <c r="I16" s="129"/>
      <c r="J16" s="111"/>
      <c r="K16" s="231"/>
    </row>
    <row r="17" spans="2:11" x14ac:dyDescent="0.2">
      <c r="B17" s="230"/>
      <c r="C17" s="148"/>
      <c r="D17" s="146"/>
      <c r="E17" s="215"/>
      <c r="F17" s="216"/>
      <c r="G17" s="99"/>
      <c r="H17" s="128"/>
      <c r="I17" s="129"/>
      <c r="J17" s="111"/>
      <c r="K17" s="231"/>
    </row>
    <row r="18" spans="2:11" x14ac:dyDescent="0.2">
      <c r="B18" s="230"/>
      <c r="C18" s="148"/>
      <c r="D18" s="146"/>
      <c r="E18" s="215"/>
      <c r="F18" s="216"/>
      <c r="G18" s="99"/>
      <c r="H18" s="128"/>
      <c r="I18" s="129"/>
      <c r="J18" s="111"/>
      <c r="K18" s="231"/>
    </row>
    <row r="19" spans="2:11" x14ac:dyDescent="0.2">
      <c r="B19" s="232"/>
      <c r="C19" s="217" t="s">
        <v>24</v>
      </c>
      <c r="D19" s="212" t="s">
        <v>25</v>
      </c>
      <c r="E19" s="218">
        <v>0</v>
      </c>
      <c r="F19" s="219"/>
      <c r="G19" s="213"/>
      <c r="H19" s="213"/>
      <c r="I19" s="213">
        <f t="shared" ref="I19:I101" si="3">ROUND((E19+F19+G19-H19),1)</f>
        <v>0</v>
      </c>
      <c r="J19" s="220"/>
      <c r="K19" s="233"/>
    </row>
    <row r="20" spans="2:11" x14ac:dyDescent="0.2">
      <c r="B20" s="234"/>
      <c r="C20" s="221"/>
      <c r="D20" s="210"/>
      <c r="E20" s="222"/>
      <c r="F20" s="223"/>
      <c r="G20" s="211"/>
      <c r="H20" s="211"/>
      <c r="I20" s="211"/>
      <c r="J20" s="224"/>
      <c r="K20" s="235"/>
    </row>
    <row r="21" spans="2:11" s="246" customFormat="1" ht="15.75" x14ac:dyDescent="0.25">
      <c r="B21" s="238"/>
      <c r="C21" s="239" t="s">
        <v>26</v>
      </c>
      <c r="D21" s="240" t="s">
        <v>27</v>
      </c>
      <c r="E21" s="241">
        <v>1077494.3999999999</v>
      </c>
      <c r="F21" s="242">
        <f>SUM(F22:F35)</f>
        <v>0</v>
      </c>
      <c r="G21" s="242">
        <f t="shared" ref="G21:H21" si="4">SUM(G22:G35)</f>
        <v>0</v>
      </c>
      <c r="H21" s="242">
        <f t="shared" si="4"/>
        <v>0</v>
      </c>
      <c r="I21" s="243">
        <f t="shared" si="3"/>
        <v>1077494.3999999999</v>
      </c>
      <c r="J21" s="244">
        <f>SUM(J22:J33)</f>
        <v>323440</v>
      </c>
      <c r="K21" s="245">
        <f>I21-J21</f>
        <v>754054.39999999991</v>
      </c>
    </row>
    <row r="22" spans="2:11" x14ac:dyDescent="0.2">
      <c r="B22" s="293">
        <v>43310</v>
      </c>
      <c r="C22" s="148"/>
      <c r="D22" s="230" t="s">
        <v>125</v>
      </c>
      <c r="E22" s="215"/>
      <c r="F22" s="216"/>
      <c r="G22" s="99"/>
      <c r="H22" s="100"/>
      <c r="I22" s="129"/>
      <c r="J22" s="111">
        <v>83140</v>
      </c>
      <c r="K22" s="231"/>
    </row>
    <row r="23" spans="2:11" x14ac:dyDescent="0.2">
      <c r="B23" s="230"/>
      <c r="C23" s="148"/>
      <c r="D23" s="230" t="s">
        <v>201</v>
      </c>
      <c r="E23" s="215"/>
      <c r="F23" s="216"/>
      <c r="G23" s="99"/>
      <c r="H23" s="100"/>
      <c r="I23" s="129"/>
      <c r="J23" s="111">
        <v>-27713</v>
      </c>
      <c r="K23" s="231"/>
    </row>
    <row r="24" spans="2:11" x14ac:dyDescent="0.2">
      <c r="B24" s="301">
        <v>43157</v>
      </c>
      <c r="C24" s="148"/>
      <c r="D24" s="230" t="s">
        <v>126</v>
      </c>
      <c r="E24" s="215"/>
      <c r="F24" s="216"/>
      <c r="G24" s="99"/>
      <c r="H24" s="100"/>
      <c r="I24" s="129"/>
      <c r="J24" s="111">
        <v>83140</v>
      </c>
      <c r="K24" s="231"/>
    </row>
    <row r="25" spans="2:11" x14ac:dyDescent="0.2">
      <c r="B25" s="301">
        <v>43181</v>
      </c>
      <c r="C25" s="148"/>
      <c r="D25" s="230" t="s">
        <v>127</v>
      </c>
      <c r="E25" s="215"/>
      <c r="F25" s="216"/>
      <c r="G25" s="99"/>
      <c r="H25" s="100"/>
      <c r="I25" s="129"/>
      <c r="J25" s="111">
        <f>88211+8451</f>
        <v>96662</v>
      </c>
      <c r="K25" s="231"/>
    </row>
    <row r="26" spans="2:11" x14ac:dyDescent="0.2">
      <c r="B26" s="301">
        <v>43215</v>
      </c>
      <c r="C26" s="148"/>
      <c r="D26" s="230" t="s">
        <v>128</v>
      </c>
      <c r="E26" s="215"/>
      <c r="F26" s="216"/>
      <c r="G26" s="99"/>
      <c r="H26" s="100"/>
      <c r="I26" s="129"/>
      <c r="J26" s="111">
        <v>88211</v>
      </c>
      <c r="K26" s="231"/>
    </row>
    <row r="27" spans="2:11" x14ac:dyDescent="0.2">
      <c r="B27" s="230"/>
      <c r="C27" s="148"/>
      <c r="D27" s="230"/>
      <c r="E27" s="215"/>
      <c r="F27" s="216"/>
      <c r="G27" s="99"/>
      <c r="H27" s="100"/>
      <c r="I27" s="129"/>
      <c r="J27" s="111"/>
      <c r="K27" s="231"/>
    </row>
    <row r="28" spans="2:11" x14ac:dyDescent="0.2">
      <c r="B28" s="230"/>
      <c r="C28" s="148"/>
      <c r="D28" s="230"/>
      <c r="E28" s="215"/>
      <c r="F28" s="216"/>
      <c r="G28" s="99"/>
      <c r="H28" s="100"/>
      <c r="I28" s="129"/>
      <c r="J28" s="111"/>
      <c r="K28" s="231"/>
    </row>
    <row r="29" spans="2:11" x14ac:dyDescent="0.2">
      <c r="B29" s="230"/>
      <c r="C29" s="148"/>
      <c r="D29" s="230"/>
      <c r="E29" s="215"/>
      <c r="F29" s="216"/>
      <c r="G29" s="99"/>
      <c r="H29" s="100"/>
      <c r="I29" s="129"/>
      <c r="J29" s="111"/>
      <c r="K29" s="231"/>
    </row>
    <row r="30" spans="2:11" x14ac:dyDescent="0.2">
      <c r="B30" s="230"/>
      <c r="C30" s="148"/>
      <c r="D30" s="230"/>
      <c r="E30" s="215"/>
      <c r="F30" s="216"/>
      <c r="G30" s="99"/>
      <c r="H30" s="100"/>
      <c r="I30" s="129"/>
      <c r="J30" s="111"/>
      <c r="K30" s="231"/>
    </row>
    <row r="31" spans="2:11" x14ac:dyDescent="0.2">
      <c r="B31" s="230"/>
      <c r="C31" s="148"/>
      <c r="D31" s="230"/>
      <c r="E31" s="215"/>
      <c r="F31" s="216"/>
      <c r="G31" s="99"/>
      <c r="H31" s="100"/>
      <c r="I31" s="129"/>
      <c r="J31" s="111"/>
      <c r="K31" s="231"/>
    </row>
    <row r="32" spans="2:11" x14ac:dyDescent="0.2">
      <c r="B32" s="230"/>
      <c r="C32" s="148"/>
      <c r="D32" s="230"/>
      <c r="E32" s="215"/>
      <c r="F32" s="216"/>
      <c r="G32" s="99"/>
      <c r="H32" s="100"/>
      <c r="I32" s="129"/>
      <c r="J32" s="111"/>
      <c r="K32" s="231"/>
    </row>
    <row r="33" spans="2:11" x14ac:dyDescent="0.2">
      <c r="B33" s="230"/>
      <c r="C33" s="148"/>
      <c r="D33" s="230"/>
      <c r="E33" s="215"/>
      <c r="F33" s="216"/>
      <c r="G33" s="99"/>
      <c r="H33" s="100"/>
      <c r="I33" s="129"/>
      <c r="J33" s="111"/>
      <c r="K33" s="231"/>
    </row>
    <row r="34" spans="2:11" x14ac:dyDescent="0.2">
      <c r="B34" s="230"/>
      <c r="C34" s="148"/>
      <c r="D34" s="146"/>
      <c r="E34" s="215"/>
      <c r="F34" s="216"/>
      <c r="G34" s="99"/>
      <c r="H34" s="100"/>
      <c r="I34" s="129"/>
      <c r="J34" s="111"/>
      <c r="K34" s="231"/>
    </row>
    <row r="35" spans="2:11" x14ac:dyDescent="0.2">
      <c r="B35" s="230"/>
      <c r="C35" s="148"/>
      <c r="D35" s="146"/>
      <c r="E35" s="215"/>
      <c r="F35" s="216"/>
      <c r="G35" s="99"/>
      <c r="H35" s="100"/>
      <c r="I35" s="129"/>
      <c r="J35" s="111"/>
      <c r="K35" s="231"/>
    </row>
    <row r="36" spans="2:11" s="246" customFormat="1" ht="15.75" x14ac:dyDescent="0.25">
      <c r="B36" s="238"/>
      <c r="C36" s="239" t="s">
        <v>28</v>
      </c>
      <c r="D36" s="240" t="s">
        <v>29</v>
      </c>
      <c r="E36" s="241">
        <v>1484049.6</v>
      </c>
      <c r="F36" s="242">
        <f>SUM(F37:F49)</f>
        <v>0</v>
      </c>
      <c r="G36" s="242">
        <f t="shared" ref="G36:H36" si="5">SUM(G37:G49)</f>
        <v>0</v>
      </c>
      <c r="H36" s="242">
        <f t="shared" si="5"/>
        <v>0</v>
      </c>
      <c r="I36" s="243">
        <f t="shared" si="3"/>
        <v>1484049.6</v>
      </c>
      <c r="J36" s="244">
        <f>SUM(J37:J48)</f>
        <v>429212</v>
      </c>
      <c r="K36" s="245">
        <f>I36-J36</f>
        <v>1054837.6000000001</v>
      </c>
    </row>
    <row r="37" spans="2:11" x14ac:dyDescent="0.2">
      <c r="B37" s="293">
        <v>43310</v>
      </c>
      <c r="C37" s="148"/>
      <c r="D37" s="230" t="s">
        <v>125</v>
      </c>
      <c r="E37" s="215"/>
      <c r="F37" s="216"/>
      <c r="G37" s="99"/>
      <c r="H37" s="100"/>
      <c r="I37" s="129"/>
      <c r="J37" s="111">
        <v>114510</v>
      </c>
      <c r="K37" s="231"/>
    </row>
    <row r="38" spans="2:11" x14ac:dyDescent="0.2">
      <c r="B38" s="230"/>
      <c r="C38" s="148"/>
      <c r="D38" s="230" t="s">
        <v>202</v>
      </c>
      <c r="E38" s="215"/>
      <c r="F38" s="216"/>
      <c r="G38" s="99"/>
      <c r="H38" s="100"/>
      <c r="I38" s="129"/>
      <c r="J38" s="111">
        <f>-17142-29176</f>
        <v>-46318</v>
      </c>
      <c r="K38" s="231"/>
    </row>
    <row r="39" spans="2:11" x14ac:dyDescent="0.2">
      <c r="B39" s="301">
        <v>43157</v>
      </c>
      <c r="C39" s="148"/>
      <c r="D39" s="230" t="s">
        <v>126</v>
      </c>
      <c r="E39" s="215"/>
      <c r="F39" s="216"/>
      <c r="G39" s="99"/>
      <c r="H39" s="100"/>
      <c r="I39" s="129"/>
      <c r="J39" s="111">
        <v>120340</v>
      </c>
      <c r="K39" s="231"/>
    </row>
    <row r="40" spans="2:11" x14ac:dyDescent="0.2">
      <c r="B40" s="301">
        <v>43181</v>
      </c>
      <c r="C40" s="148"/>
      <c r="D40" s="230" t="s">
        <v>127</v>
      </c>
      <c r="E40" s="215"/>
      <c r="F40" s="216"/>
      <c r="G40" s="99"/>
      <c r="H40" s="100"/>
      <c r="I40" s="129"/>
      <c r="J40" s="111">
        <v>120340</v>
      </c>
      <c r="K40" s="231"/>
    </row>
    <row r="41" spans="2:11" x14ac:dyDescent="0.2">
      <c r="B41" s="301">
        <v>43215</v>
      </c>
      <c r="C41" s="148"/>
      <c r="D41" s="230" t="s">
        <v>128</v>
      </c>
      <c r="E41" s="215"/>
      <c r="F41" s="216"/>
      <c r="G41" s="99"/>
      <c r="H41" s="100"/>
      <c r="I41" s="129"/>
      <c r="J41" s="111">
        <v>120340</v>
      </c>
      <c r="K41" s="231"/>
    </row>
    <row r="42" spans="2:11" x14ac:dyDescent="0.2">
      <c r="B42" s="230"/>
      <c r="C42" s="148"/>
      <c r="D42" s="230"/>
      <c r="E42" s="215"/>
      <c r="F42" s="216"/>
      <c r="G42" s="99"/>
      <c r="H42" s="100"/>
      <c r="I42" s="129"/>
      <c r="J42" s="111"/>
      <c r="K42" s="231"/>
    </row>
    <row r="43" spans="2:11" x14ac:dyDescent="0.2">
      <c r="B43" s="230"/>
      <c r="C43" s="148"/>
      <c r="D43" s="230"/>
      <c r="E43" s="215"/>
      <c r="F43" s="216"/>
      <c r="G43" s="99"/>
      <c r="H43" s="100"/>
      <c r="I43" s="129"/>
      <c r="J43" s="111"/>
      <c r="K43" s="231"/>
    </row>
    <row r="44" spans="2:11" x14ac:dyDescent="0.2">
      <c r="B44" s="230"/>
      <c r="C44" s="148"/>
      <c r="D44" s="230"/>
      <c r="E44" s="215"/>
      <c r="F44" s="216"/>
      <c r="G44" s="99"/>
      <c r="H44" s="100"/>
      <c r="I44" s="129"/>
      <c r="J44" s="111"/>
      <c r="K44" s="231"/>
    </row>
    <row r="45" spans="2:11" x14ac:dyDescent="0.2">
      <c r="B45" s="230"/>
      <c r="C45" s="148"/>
      <c r="D45" s="230"/>
      <c r="E45" s="215"/>
      <c r="F45" s="216"/>
      <c r="G45" s="99"/>
      <c r="H45" s="100"/>
      <c r="I45" s="129"/>
      <c r="J45" s="111"/>
      <c r="K45" s="231"/>
    </row>
    <row r="46" spans="2:11" x14ac:dyDescent="0.2">
      <c r="B46" s="230"/>
      <c r="C46" s="148"/>
      <c r="D46" s="230"/>
      <c r="E46" s="215"/>
      <c r="F46" s="216"/>
      <c r="G46" s="99"/>
      <c r="H46" s="100"/>
      <c r="I46" s="129"/>
      <c r="J46" s="111"/>
      <c r="K46" s="231"/>
    </row>
    <row r="47" spans="2:11" x14ac:dyDescent="0.2">
      <c r="B47" s="230"/>
      <c r="C47" s="148"/>
      <c r="D47" s="230"/>
      <c r="E47" s="215"/>
      <c r="F47" s="216"/>
      <c r="G47" s="99"/>
      <c r="H47" s="100"/>
      <c r="I47" s="129"/>
      <c r="J47" s="111"/>
      <c r="K47" s="231"/>
    </row>
    <row r="48" spans="2:11" x14ac:dyDescent="0.2">
      <c r="B48" s="230"/>
      <c r="C48" s="148"/>
      <c r="D48" s="230"/>
      <c r="E48" s="215"/>
      <c r="F48" s="216"/>
      <c r="G48" s="99"/>
      <c r="H48" s="100"/>
      <c r="I48" s="129"/>
      <c r="J48" s="111"/>
      <c r="K48" s="231"/>
    </row>
    <row r="49" spans="2:11" x14ac:dyDescent="0.2">
      <c r="B49" s="230"/>
      <c r="C49" s="148"/>
      <c r="D49" s="146"/>
      <c r="E49" s="215"/>
      <c r="F49" s="216"/>
      <c r="G49" s="99"/>
      <c r="H49" s="100"/>
      <c r="I49" s="129"/>
      <c r="J49" s="111"/>
      <c r="K49" s="231"/>
    </row>
    <row r="50" spans="2:11" s="246" customFormat="1" ht="15.75" x14ac:dyDescent="0.25">
      <c r="B50" s="238"/>
      <c r="C50" s="239" t="s">
        <v>30</v>
      </c>
      <c r="D50" s="240" t="s">
        <v>31</v>
      </c>
      <c r="E50" s="241">
        <v>15036740.388045937</v>
      </c>
      <c r="F50" s="242">
        <f>SUM(F51:F62)</f>
        <v>0</v>
      </c>
      <c r="G50" s="242">
        <f t="shared" ref="G50:H50" si="6">SUM(G51:G62)</f>
        <v>0</v>
      </c>
      <c r="H50" s="242">
        <f t="shared" si="6"/>
        <v>0</v>
      </c>
      <c r="I50" s="243">
        <f t="shared" si="3"/>
        <v>15036740.4</v>
      </c>
      <c r="J50" s="244">
        <f>SUM(J51:J62)</f>
        <v>3547745</v>
      </c>
      <c r="K50" s="245">
        <f>I50-J50</f>
        <v>11488995.4</v>
      </c>
    </row>
    <row r="51" spans="2:11" x14ac:dyDescent="0.2">
      <c r="B51" s="301">
        <v>43157</v>
      </c>
      <c r="C51" s="148"/>
      <c r="D51" s="146" t="s">
        <v>203</v>
      </c>
      <c r="E51" s="215"/>
      <c r="F51" s="216"/>
      <c r="G51" s="99"/>
      <c r="H51" s="100"/>
      <c r="I51" s="129"/>
      <c r="J51" s="111">
        <v>1001468</v>
      </c>
      <c r="K51" s="231"/>
    </row>
    <row r="52" spans="2:11" x14ac:dyDescent="0.2">
      <c r="B52" s="301">
        <v>43157</v>
      </c>
      <c r="C52" s="148"/>
      <c r="D52" s="146" t="s">
        <v>198</v>
      </c>
      <c r="E52" s="215"/>
      <c r="F52" s="216"/>
      <c r="G52" s="99"/>
      <c r="H52" s="100"/>
      <c r="I52" s="129"/>
      <c r="J52" s="111">
        <v>906747</v>
      </c>
      <c r="K52" s="231"/>
    </row>
    <row r="53" spans="2:11" x14ac:dyDescent="0.2">
      <c r="B53" s="301">
        <v>43157</v>
      </c>
      <c r="C53" s="148"/>
      <c r="D53" s="146" t="s">
        <v>188</v>
      </c>
      <c r="E53" s="215"/>
      <c r="F53" s="216"/>
      <c r="G53" s="99"/>
      <c r="H53" s="100"/>
      <c r="I53" s="129"/>
      <c r="J53" s="111">
        <v>797258</v>
      </c>
      <c r="K53" s="231"/>
    </row>
    <row r="54" spans="2:11" x14ac:dyDescent="0.2">
      <c r="B54" s="301">
        <v>43215</v>
      </c>
      <c r="C54" s="148"/>
      <c r="D54" s="146" t="s">
        <v>227</v>
      </c>
      <c r="E54" s="215"/>
      <c r="F54" s="216"/>
      <c r="G54" s="99"/>
      <c r="H54" s="100"/>
      <c r="I54" s="129"/>
      <c r="J54" s="111">
        <v>842272</v>
      </c>
      <c r="K54" s="231"/>
    </row>
    <row r="55" spans="2:11" x14ac:dyDescent="0.2">
      <c r="B55" s="230"/>
      <c r="C55" s="148"/>
      <c r="D55" s="146"/>
      <c r="E55" s="215"/>
      <c r="F55" s="216"/>
      <c r="G55" s="99"/>
      <c r="H55" s="100"/>
      <c r="I55" s="129"/>
      <c r="J55" s="111"/>
      <c r="K55" s="231"/>
    </row>
    <row r="56" spans="2:11" x14ac:dyDescent="0.2">
      <c r="B56" s="230"/>
      <c r="C56" s="148"/>
      <c r="D56" s="146"/>
      <c r="E56" s="215"/>
      <c r="F56" s="216"/>
      <c r="G56" s="99"/>
      <c r="H56" s="100"/>
      <c r="I56" s="129"/>
      <c r="J56" s="111"/>
      <c r="K56" s="231"/>
    </row>
    <row r="57" spans="2:11" x14ac:dyDescent="0.2">
      <c r="B57" s="230"/>
      <c r="C57" s="148"/>
      <c r="D57" s="146"/>
      <c r="E57" s="215"/>
      <c r="F57" s="216"/>
      <c r="G57" s="99"/>
      <c r="H57" s="100"/>
      <c r="I57" s="129"/>
      <c r="J57" s="111"/>
      <c r="K57" s="231"/>
    </row>
    <row r="58" spans="2:11" x14ac:dyDescent="0.2">
      <c r="B58" s="230"/>
      <c r="C58" s="148"/>
      <c r="D58" s="146"/>
      <c r="E58" s="215"/>
      <c r="F58" s="216"/>
      <c r="G58" s="99"/>
      <c r="H58" s="100"/>
      <c r="I58" s="129"/>
      <c r="J58" s="111"/>
      <c r="K58" s="231"/>
    </row>
    <row r="59" spans="2:11" x14ac:dyDescent="0.2">
      <c r="B59" s="230"/>
      <c r="C59" s="148"/>
      <c r="D59" s="146"/>
      <c r="E59" s="215"/>
      <c r="F59" s="216"/>
      <c r="G59" s="99"/>
      <c r="H59" s="100"/>
      <c r="I59" s="129"/>
      <c r="J59" s="111"/>
      <c r="K59" s="231"/>
    </row>
    <row r="60" spans="2:11" x14ac:dyDescent="0.2">
      <c r="B60" s="230"/>
      <c r="C60" s="148"/>
      <c r="D60" s="146"/>
      <c r="E60" s="215"/>
      <c r="F60" s="216"/>
      <c r="G60" s="99"/>
      <c r="H60" s="100"/>
      <c r="I60" s="129"/>
      <c r="J60" s="111"/>
      <c r="K60" s="231"/>
    </row>
    <row r="61" spans="2:11" x14ac:dyDescent="0.2">
      <c r="B61" s="230"/>
      <c r="C61" s="148"/>
      <c r="D61" s="146"/>
      <c r="E61" s="215"/>
      <c r="F61" s="216"/>
      <c r="G61" s="99"/>
      <c r="H61" s="100"/>
      <c r="I61" s="129"/>
      <c r="J61" s="111"/>
      <c r="K61" s="231"/>
    </row>
    <row r="62" spans="2:11" x14ac:dyDescent="0.2">
      <c r="B62" s="230"/>
      <c r="C62" s="148"/>
      <c r="D62" s="146"/>
      <c r="E62" s="215"/>
      <c r="F62" s="216"/>
      <c r="G62" s="99"/>
      <c r="H62" s="100"/>
      <c r="I62" s="129"/>
      <c r="J62" s="111"/>
      <c r="K62" s="231"/>
    </row>
    <row r="63" spans="2:11" s="246" customFormat="1" ht="15.75" x14ac:dyDescent="0.25">
      <c r="B63" s="238"/>
      <c r="C63" s="239" t="s">
        <v>32</v>
      </c>
      <c r="D63" s="240" t="s">
        <v>33</v>
      </c>
      <c r="E63" s="241">
        <v>22003952.024810392</v>
      </c>
      <c r="F63" s="242">
        <f>SUM(F64:F70)</f>
        <v>0</v>
      </c>
      <c r="G63" s="242">
        <f t="shared" ref="G63:H63" si="7">SUM(G64:G70)</f>
        <v>0</v>
      </c>
      <c r="H63" s="242">
        <f t="shared" si="7"/>
        <v>0</v>
      </c>
      <c r="I63" s="243">
        <f t="shared" si="3"/>
        <v>22003952</v>
      </c>
      <c r="J63" s="244">
        <f>SUM(J64:J70)</f>
        <v>0</v>
      </c>
      <c r="K63" s="245">
        <f>I63-J63</f>
        <v>22003952</v>
      </c>
    </row>
    <row r="64" spans="2:11" x14ac:dyDescent="0.2">
      <c r="B64" s="230"/>
      <c r="C64" s="148"/>
      <c r="D64" s="146"/>
      <c r="E64" s="215"/>
      <c r="F64" s="216"/>
      <c r="G64" s="101"/>
      <c r="H64" s="100"/>
      <c r="I64" s="129"/>
      <c r="J64" s="111"/>
      <c r="K64" s="231"/>
    </row>
    <row r="65" spans="2:11" x14ac:dyDescent="0.2">
      <c r="B65" s="230"/>
      <c r="C65" s="148"/>
      <c r="D65" s="146"/>
      <c r="E65" s="215"/>
      <c r="F65" s="216"/>
      <c r="G65" s="101"/>
      <c r="H65" s="100"/>
      <c r="I65" s="129"/>
      <c r="J65" s="111"/>
      <c r="K65" s="231"/>
    </row>
    <row r="66" spans="2:11" x14ac:dyDescent="0.2">
      <c r="B66" s="230"/>
      <c r="C66" s="148"/>
      <c r="D66" s="146"/>
      <c r="E66" s="215"/>
      <c r="F66" s="216"/>
      <c r="G66" s="101"/>
      <c r="H66" s="100"/>
      <c r="I66" s="129"/>
      <c r="J66" s="111"/>
      <c r="K66" s="231"/>
    </row>
    <row r="67" spans="2:11" x14ac:dyDescent="0.2">
      <c r="B67" s="230"/>
      <c r="C67" s="148"/>
      <c r="D67" s="146"/>
      <c r="E67" s="215"/>
      <c r="F67" s="216"/>
      <c r="G67" s="101"/>
      <c r="H67" s="100"/>
      <c r="I67" s="129"/>
      <c r="J67" s="111"/>
      <c r="K67" s="231"/>
    </row>
    <row r="68" spans="2:11" x14ac:dyDescent="0.2">
      <c r="B68" s="230"/>
      <c r="C68" s="148"/>
      <c r="D68" s="146"/>
      <c r="E68" s="215"/>
      <c r="F68" s="216"/>
      <c r="G68" s="101"/>
      <c r="H68" s="100"/>
      <c r="I68" s="129"/>
      <c r="J68" s="111"/>
      <c r="K68" s="231"/>
    </row>
    <row r="69" spans="2:11" x14ac:dyDescent="0.2">
      <c r="B69" s="230"/>
      <c r="C69" s="148"/>
      <c r="D69" s="146"/>
      <c r="E69" s="215"/>
      <c r="F69" s="216"/>
      <c r="G69" s="101"/>
      <c r="H69" s="100"/>
      <c r="I69" s="129"/>
      <c r="J69" s="111"/>
      <c r="K69" s="231"/>
    </row>
    <row r="70" spans="2:11" x14ac:dyDescent="0.2">
      <c r="B70" s="230"/>
      <c r="C70" s="148"/>
      <c r="D70" s="146"/>
      <c r="E70" s="215"/>
      <c r="F70" s="216"/>
      <c r="G70" s="101"/>
      <c r="H70" s="100"/>
      <c r="I70" s="129"/>
      <c r="J70" s="111"/>
      <c r="K70" s="231"/>
    </row>
    <row r="71" spans="2:11" s="246" customFormat="1" ht="15.75" x14ac:dyDescent="0.25">
      <c r="B71" s="238"/>
      <c r="C71" s="239" t="s">
        <v>34</v>
      </c>
      <c r="D71" s="240" t="s">
        <v>35</v>
      </c>
      <c r="E71" s="241">
        <v>22920783.359177493</v>
      </c>
      <c r="F71" s="242">
        <f>SUM(F72:F85)</f>
        <v>0</v>
      </c>
      <c r="G71" s="242">
        <f t="shared" ref="G71:H71" si="8">SUM(G72:G85)</f>
        <v>0</v>
      </c>
      <c r="H71" s="242">
        <f t="shared" si="8"/>
        <v>0</v>
      </c>
      <c r="I71" s="243">
        <f t="shared" si="3"/>
        <v>22920783.399999999</v>
      </c>
      <c r="J71" s="244">
        <f>SUM(J72:J85)</f>
        <v>5543228</v>
      </c>
      <c r="K71" s="245">
        <f>I71-J71</f>
        <v>17377555.399999999</v>
      </c>
    </row>
    <row r="72" spans="2:11" x14ac:dyDescent="0.2">
      <c r="B72" s="301">
        <v>43118</v>
      </c>
      <c r="C72" s="148"/>
      <c r="D72" s="146" t="s">
        <v>158</v>
      </c>
      <c r="E72" s="215"/>
      <c r="F72" s="216"/>
      <c r="G72" s="99"/>
      <c r="H72" s="133"/>
      <c r="I72" s="129"/>
      <c r="J72" s="111">
        <v>5543228</v>
      </c>
      <c r="K72" s="231"/>
    </row>
    <row r="73" spans="2:11" x14ac:dyDescent="0.2">
      <c r="B73" s="230"/>
      <c r="C73" s="148"/>
      <c r="D73" s="146"/>
      <c r="E73" s="215"/>
      <c r="F73" s="216"/>
      <c r="G73" s="99"/>
      <c r="H73" s="133"/>
      <c r="I73" s="129"/>
      <c r="J73" s="111"/>
      <c r="K73" s="231"/>
    </row>
    <row r="74" spans="2:11" x14ac:dyDescent="0.2">
      <c r="B74" s="230"/>
      <c r="C74" s="148"/>
      <c r="D74" s="146"/>
      <c r="E74" s="215"/>
      <c r="F74" s="216"/>
      <c r="G74" s="99"/>
      <c r="H74" s="133"/>
      <c r="I74" s="129"/>
      <c r="J74" s="111"/>
      <c r="K74" s="231"/>
    </row>
    <row r="75" spans="2:11" x14ac:dyDescent="0.2">
      <c r="B75" s="230"/>
      <c r="C75" s="148"/>
      <c r="D75" s="146"/>
      <c r="E75" s="215"/>
      <c r="F75" s="216"/>
      <c r="G75" s="99"/>
      <c r="H75" s="133"/>
      <c r="I75" s="129"/>
      <c r="J75" s="111"/>
      <c r="K75" s="231"/>
    </row>
    <row r="76" spans="2:11" x14ac:dyDescent="0.2">
      <c r="B76" s="230"/>
      <c r="C76" s="148"/>
      <c r="D76" s="146"/>
      <c r="E76" s="215"/>
      <c r="F76" s="216"/>
      <c r="G76" s="99"/>
      <c r="H76" s="133"/>
      <c r="I76" s="129"/>
      <c r="J76" s="111"/>
      <c r="K76" s="231"/>
    </row>
    <row r="77" spans="2:11" x14ac:dyDescent="0.2">
      <c r="B77" s="230"/>
      <c r="C77" s="148"/>
      <c r="D77" s="146"/>
      <c r="E77" s="215"/>
      <c r="F77" s="216"/>
      <c r="G77" s="99"/>
      <c r="H77" s="133"/>
      <c r="I77" s="129"/>
      <c r="J77" s="111"/>
      <c r="K77" s="231"/>
    </row>
    <row r="78" spans="2:11" x14ac:dyDescent="0.2">
      <c r="B78" s="230"/>
      <c r="C78" s="148"/>
      <c r="D78" s="146"/>
      <c r="E78" s="215"/>
      <c r="F78" s="216"/>
      <c r="G78" s="99"/>
      <c r="H78" s="133"/>
      <c r="I78" s="129"/>
      <c r="J78" s="111"/>
      <c r="K78" s="231"/>
    </row>
    <row r="79" spans="2:11" x14ac:dyDescent="0.2">
      <c r="B79" s="230"/>
      <c r="C79" s="148"/>
      <c r="D79" s="146"/>
      <c r="E79" s="215"/>
      <c r="F79" s="216"/>
      <c r="G79" s="99"/>
      <c r="H79" s="133"/>
      <c r="I79" s="129"/>
      <c r="J79" s="111"/>
      <c r="K79" s="231"/>
    </row>
    <row r="80" spans="2:11" x14ac:dyDescent="0.2">
      <c r="B80" s="230"/>
      <c r="C80" s="148"/>
      <c r="D80" s="146"/>
      <c r="E80" s="215"/>
      <c r="F80" s="216"/>
      <c r="G80" s="99"/>
      <c r="H80" s="133"/>
      <c r="I80" s="129"/>
      <c r="J80" s="111"/>
      <c r="K80" s="231"/>
    </row>
    <row r="81" spans="2:11" x14ac:dyDescent="0.2">
      <c r="B81" s="230"/>
      <c r="C81" s="148"/>
      <c r="D81" s="146"/>
      <c r="E81" s="215"/>
      <c r="F81" s="216"/>
      <c r="G81" s="99"/>
      <c r="H81" s="133"/>
      <c r="I81" s="129"/>
      <c r="J81" s="111"/>
      <c r="K81" s="231"/>
    </row>
    <row r="82" spans="2:11" x14ac:dyDescent="0.2">
      <c r="B82" s="230"/>
      <c r="C82" s="148"/>
      <c r="D82" s="146"/>
      <c r="E82" s="215"/>
      <c r="F82" s="216"/>
      <c r="G82" s="99"/>
      <c r="H82" s="133"/>
      <c r="I82" s="129"/>
      <c r="J82" s="111"/>
      <c r="K82" s="231"/>
    </row>
    <row r="83" spans="2:11" x14ac:dyDescent="0.2">
      <c r="B83" s="230"/>
      <c r="C83" s="148"/>
      <c r="D83" s="146"/>
      <c r="E83" s="215"/>
      <c r="F83" s="216"/>
      <c r="G83" s="99"/>
      <c r="H83" s="133"/>
      <c r="I83" s="129"/>
      <c r="J83" s="111"/>
      <c r="K83" s="231"/>
    </row>
    <row r="84" spans="2:11" x14ac:dyDescent="0.2">
      <c r="B84" s="230"/>
      <c r="C84" s="148"/>
      <c r="D84" s="146"/>
      <c r="E84" s="215"/>
      <c r="F84" s="216"/>
      <c r="G84" s="99"/>
      <c r="H84" s="133"/>
      <c r="I84" s="129"/>
      <c r="J84" s="111"/>
      <c r="K84" s="231"/>
    </row>
    <row r="85" spans="2:11" x14ac:dyDescent="0.2">
      <c r="B85" s="230"/>
      <c r="C85" s="148"/>
      <c r="D85" s="146"/>
      <c r="E85" s="215"/>
      <c r="F85" s="216"/>
      <c r="G85" s="99"/>
      <c r="H85" s="133"/>
      <c r="I85" s="129"/>
      <c r="J85" s="111"/>
      <c r="K85" s="231"/>
    </row>
    <row r="86" spans="2:11" ht="15.75" x14ac:dyDescent="0.25">
      <c r="B86" s="238"/>
      <c r="C86" s="239">
        <v>2020110109</v>
      </c>
      <c r="D86" s="240" t="s">
        <v>36</v>
      </c>
      <c r="E86" s="241">
        <v>37123610.942899451</v>
      </c>
      <c r="F86" s="242">
        <f>SUM(F87:F100)</f>
        <v>0</v>
      </c>
      <c r="G86" s="242">
        <f t="shared" ref="G86:H86" si="9">SUM(G87:G100)</f>
        <v>0</v>
      </c>
      <c r="H86" s="242">
        <f t="shared" si="9"/>
        <v>0</v>
      </c>
      <c r="I86" s="243">
        <f t="shared" si="3"/>
        <v>37123610.899999999</v>
      </c>
      <c r="J86" s="242">
        <f>SUM(J87:J100)</f>
        <v>0</v>
      </c>
      <c r="K86" s="245">
        <f>I86-J86</f>
        <v>37123610.899999999</v>
      </c>
    </row>
    <row r="87" spans="2:11" x14ac:dyDescent="0.2">
      <c r="B87" s="230"/>
      <c r="C87" s="148"/>
      <c r="D87" s="146"/>
      <c r="E87" s="215"/>
      <c r="F87" s="216"/>
      <c r="G87" s="99"/>
      <c r="H87" s="133"/>
      <c r="I87" s="129"/>
      <c r="J87" s="111"/>
      <c r="K87" s="231"/>
    </row>
    <row r="88" spans="2:11" x14ac:dyDescent="0.2">
      <c r="B88" s="230"/>
      <c r="C88" s="148"/>
      <c r="D88" s="146"/>
      <c r="E88" s="215"/>
      <c r="F88" s="216"/>
      <c r="G88" s="99"/>
      <c r="H88" s="133"/>
      <c r="I88" s="129"/>
      <c r="J88" s="111"/>
      <c r="K88" s="231"/>
    </row>
    <row r="89" spans="2:11" x14ac:dyDescent="0.2">
      <c r="B89" s="230"/>
      <c r="C89" s="148"/>
      <c r="D89" s="146"/>
      <c r="E89" s="215"/>
      <c r="F89" s="216"/>
      <c r="G89" s="99"/>
      <c r="H89" s="133"/>
      <c r="I89" s="129"/>
      <c r="J89" s="111"/>
      <c r="K89" s="231"/>
    </row>
    <row r="90" spans="2:11" x14ac:dyDescent="0.2">
      <c r="B90" s="230"/>
      <c r="C90" s="148"/>
      <c r="D90" s="146"/>
      <c r="E90" s="215"/>
      <c r="F90" s="216"/>
      <c r="G90" s="99"/>
      <c r="H90" s="133"/>
      <c r="I90" s="129"/>
      <c r="J90" s="111"/>
      <c r="K90" s="231"/>
    </row>
    <row r="91" spans="2:11" x14ac:dyDescent="0.2">
      <c r="B91" s="230"/>
      <c r="C91" s="148"/>
      <c r="D91" s="146"/>
      <c r="E91" s="215"/>
      <c r="F91" s="216"/>
      <c r="G91" s="99"/>
      <c r="H91" s="133"/>
      <c r="I91" s="129"/>
      <c r="J91" s="111"/>
      <c r="K91" s="231"/>
    </row>
    <row r="92" spans="2:11" x14ac:dyDescent="0.2">
      <c r="B92" s="230"/>
      <c r="C92" s="148"/>
      <c r="D92" s="146"/>
      <c r="E92" s="215"/>
      <c r="F92" s="216"/>
      <c r="G92" s="99"/>
      <c r="H92" s="133"/>
      <c r="I92" s="129"/>
      <c r="J92" s="111"/>
      <c r="K92" s="231"/>
    </row>
    <row r="93" spans="2:11" x14ac:dyDescent="0.2">
      <c r="B93" s="230"/>
      <c r="C93" s="148"/>
      <c r="D93" s="146"/>
      <c r="E93" s="215"/>
      <c r="F93" s="216"/>
      <c r="G93" s="99"/>
      <c r="H93" s="133"/>
      <c r="I93" s="129"/>
      <c r="J93" s="111"/>
      <c r="K93" s="231"/>
    </row>
    <row r="94" spans="2:11" x14ac:dyDescent="0.2">
      <c r="B94" s="230"/>
      <c r="C94" s="148"/>
      <c r="D94" s="146"/>
      <c r="E94" s="215"/>
      <c r="F94" s="216"/>
      <c r="G94" s="99"/>
      <c r="H94" s="133"/>
      <c r="I94" s="129"/>
      <c r="J94" s="111"/>
      <c r="K94" s="231"/>
    </row>
    <row r="95" spans="2:11" x14ac:dyDescent="0.2">
      <c r="B95" s="230"/>
      <c r="C95" s="148"/>
      <c r="D95" s="146"/>
      <c r="E95" s="215"/>
      <c r="F95" s="216"/>
      <c r="G95" s="99"/>
      <c r="H95" s="133"/>
      <c r="I95" s="129"/>
      <c r="J95" s="111"/>
      <c r="K95" s="231"/>
    </row>
    <row r="96" spans="2:11" x14ac:dyDescent="0.2">
      <c r="B96" s="230"/>
      <c r="C96" s="148"/>
      <c r="D96" s="146"/>
      <c r="E96" s="215"/>
      <c r="F96" s="216"/>
      <c r="G96" s="99"/>
      <c r="H96" s="133"/>
      <c r="I96" s="129"/>
      <c r="J96" s="111"/>
      <c r="K96" s="231"/>
    </row>
    <row r="97" spans="2:11" x14ac:dyDescent="0.2">
      <c r="B97" s="230"/>
      <c r="C97" s="148"/>
      <c r="D97" s="146"/>
      <c r="E97" s="215"/>
      <c r="F97" s="216"/>
      <c r="G97" s="99"/>
      <c r="H97" s="133"/>
      <c r="I97" s="129"/>
      <c r="J97" s="111"/>
      <c r="K97" s="231"/>
    </row>
    <row r="98" spans="2:11" x14ac:dyDescent="0.2">
      <c r="B98" s="230"/>
      <c r="C98" s="148"/>
      <c r="D98" s="146"/>
      <c r="E98" s="215"/>
      <c r="F98" s="216"/>
      <c r="G98" s="99"/>
      <c r="H98" s="133"/>
      <c r="I98" s="129"/>
      <c r="J98" s="111"/>
      <c r="K98" s="231"/>
    </row>
    <row r="99" spans="2:11" x14ac:dyDescent="0.2">
      <c r="B99" s="230"/>
      <c r="C99" s="148"/>
      <c r="D99" s="146"/>
      <c r="E99" s="215"/>
      <c r="F99" s="216"/>
      <c r="G99" s="99"/>
      <c r="H99" s="133"/>
      <c r="I99" s="129"/>
      <c r="J99" s="111"/>
      <c r="K99" s="231"/>
    </row>
    <row r="100" spans="2:11" x14ac:dyDescent="0.2">
      <c r="B100" s="230"/>
      <c r="C100" s="148"/>
      <c r="D100" s="146"/>
      <c r="E100" s="215"/>
      <c r="F100" s="216"/>
      <c r="G100" s="99"/>
      <c r="H100" s="133"/>
      <c r="I100" s="129"/>
      <c r="J100" s="111"/>
      <c r="K100" s="231"/>
    </row>
    <row r="101" spans="2:11" ht="15.75" x14ac:dyDescent="0.25">
      <c r="B101" s="238"/>
      <c r="C101" s="239">
        <v>2020110108</v>
      </c>
      <c r="D101" s="240" t="s">
        <v>37</v>
      </c>
      <c r="E101" s="241">
        <v>47751631.998286448</v>
      </c>
      <c r="F101" s="242">
        <f>SUM(F102:F108)</f>
        <v>0</v>
      </c>
      <c r="G101" s="242">
        <f t="shared" ref="G101:J101" si="10">SUM(G102:G108)</f>
        <v>0</v>
      </c>
      <c r="H101" s="242">
        <f t="shared" si="10"/>
        <v>0</v>
      </c>
      <c r="I101" s="243">
        <f t="shared" si="3"/>
        <v>47751632</v>
      </c>
      <c r="J101" s="242">
        <f t="shared" si="10"/>
        <v>0</v>
      </c>
      <c r="K101" s="245">
        <f>I101-J101</f>
        <v>47751632</v>
      </c>
    </row>
    <row r="102" spans="2:11" x14ac:dyDescent="0.2">
      <c r="B102" s="230"/>
      <c r="C102" s="148"/>
      <c r="D102" s="146"/>
      <c r="E102" s="215"/>
      <c r="F102" s="216"/>
      <c r="G102" s="99"/>
      <c r="H102" s="100"/>
      <c r="I102" s="129"/>
      <c r="J102" s="111"/>
      <c r="K102" s="231"/>
    </row>
    <row r="103" spans="2:11" x14ac:dyDescent="0.2">
      <c r="B103" s="230"/>
      <c r="C103" s="148"/>
      <c r="D103" s="146"/>
      <c r="E103" s="215"/>
      <c r="F103" s="216"/>
      <c r="G103" s="99"/>
      <c r="H103" s="100"/>
      <c r="I103" s="129"/>
      <c r="J103" s="111"/>
      <c r="K103" s="231"/>
    </row>
    <row r="104" spans="2:11" x14ac:dyDescent="0.2">
      <c r="B104" s="230"/>
      <c r="C104" s="148"/>
      <c r="D104" s="146"/>
      <c r="E104" s="215"/>
      <c r="F104" s="216"/>
      <c r="G104" s="99"/>
      <c r="H104" s="100"/>
      <c r="I104" s="129"/>
      <c r="J104" s="111"/>
      <c r="K104" s="231"/>
    </row>
    <row r="105" spans="2:11" x14ac:dyDescent="0.2">
      <c r="B105" s="230"/>
      <c r="C105" s="148"/>
      <c r="D105" s="146"/>
      <c r="E105" s="215"/>
      <c r="F105" s="216"/>
      <c r="G105" s="99"/>
      <c r="H105" s="100"/>
      <c r="I105" s="129"/>
      <c r="J105" s="111"/>
      <c r="K105" s="231"/>
    </row>
    <row r="106" spans="2:11" x14ac:dyDescent="0.2">
      <c r="B106" s="230"/>
      <c r="C106" s="148"/>
      <c r="D106" s="146"/>
      <c r="E106" s="215"/>
      <c r="F106" s="216"/>
      <c r="G106" s="99"/>
      <c r="H106" s="100"/>
      <c r="I106" s="129"/>
      <c r="J106" s="111"/>
      <c r="K106" s="231"/>
    </row>
    <row r="107" spans="2:11" x14ac:dyDescent="0.2">
      <c r="B107" s="230"/>
      <c r="C107" s="148"/>
      <c r="D107" s="146"/>
      <c r="E107" s="215"/>
      <c r="F107" s="216"/>
      <c r="G107" s="99"/>
      <c r="H107" s="100"/>
      <c r="I107" s="129"/>
      <c r="J107" s="111"/>
      <c r="K107" s="231"/>
    </row>
    <row r="108" spans="2:11" x14ac:dyDescent="0.2">
      <c r="B108" s="230"/>
      <c r="C108" s="148"/>
      <c r="D108" s="146"/>
      <c r="E108" s="215"/>
      <c r="F108" s="216"/>
      <c r="G108" s="99"/>
      <c r="H108" s="100"/>
      <c r="I108" s="129"/>
      <c r="J108" s="111"/>
      <c r="K108" s="231"/>
    </row>
    <row r="109" spans="2:11" ht="18" x14ac:dyDescent="0.25">
      <c r="B109" s="248"/>
      <c r="C109" s="249" t="s">
        <v>38</v>
      </c>
      <c r="D109" s="248" t="s">
        <v>151</v>
      </c>
      <c r="E109" s="248">
        <f>SUM(E110:E126)</f>
        <v>12849993</v>
      </c>
      <c r="F109" s="284">
        <f>F110+F125+F126</f>
        <v>0</v>
      </c>
      <c r="G109" s="284">
        <f t="shared" ref="G109:I109" si="11">G110+G125+G126</f>
        <v>27650007</v>
      </c>
      <c r="H109" s="284">
        <f t="shared" si="11"/>
        <v>0</v>
      </c>
      <c r="I109" s="284">
        <f t="shared" si="11"/>
        <v>40500000</v>
      </c>
      <c r="J109" s="284">
        <f>J110+J125+J126</f>
        <v>34832100</v>
      </c>
      <c r="K109" s="285">
        <f>I109-J109</f>
        <v>5667900</v>
      </c>
    </row>
    <row r="110" spans="2:11" ht="15.75" x14ac:dyDescent="0.25">
      <c r="B110" s="238"/>
      <c r="C110" s="239" t="s">
        <v>40</v>
      </c>
      <c r="D110" s="240" t="s">
        <v>41</v>
      </c>
      <c r="E110" s="241">
        <f>2300000+10549993</f>
        <v>12849993</v>
      </c>
      <c r="F110" s="242"/>
      <c r="G110" s="251">
        <f>SUM(G111:G124)</f>
        <v>27650007</v>
      </c>
      <c r="H110" s="251">
        <f>SUM(H111:H124)</f>
        <v>0</v>
      </c>
      <c r="I110" s="243">
        <f t="shared" ref="I110:I126" si="12">E110+F110+G110-H110</f>
        <v>40500000</v>
      </c>
      <c r="J110" s="244">
        <f>SUM(J111:J124)</f>
        <v>34832100</v>
      </c>
      <c r="K110" s="245">
        <f>I110-J110</f>
        <v>5667900</v>
      </c>
    </row>
    <row r="111" spans="2:11" x14ac:dyDescent="0.2">
      <c r="B111" s="294">
        <v>43111</v>
      </c>
      <c r="C111" s="295"/>
      <c r="D111" s="296" t="s">
        <v>172</v>
      </c>
      <c r="E111" s="297"/>
      <c r="F111" s="298"/>
      <c r="G111" s="299">
        <v>27650007</v>
      </c>
      <c r="H111" s="100"/>
      <c r="I111" s="129"/>
      <c r="J111" s="111"/>
      <c r="K111" s="231"/>
    </row>
    <row r="112" spans="2:11" x14ac:dyDescent="0.2">
      <c r="B112" s="294" t="s">
        <v>178</v>
      </c>
      <c r="C112" s="295"/>
      <c r="D112" s="296" t="s">
        <v>179</v>
      </c>
      <c r="E112" s="215"/>
      <c r="F112" s="216"/>
      <c r="G112" s="101"/>
      <c r="H112" s="100"/>
      <c r="I112" s="129"/>
      <c r="J112" s="300">
        <v>7000000</v>
      </c>
      <c r="K112" s="231"/>
    </row>
    <row r="113" spans="2:11" x14ac:dyDescent="0.2">
      <c r="B113" s="294">
        <v>43126</v>
      </c>
      <c r="C113" s="295"/>
      <c r="D113" s="296" t="s">
        <v>180</v>
      </c>
      <c r="E113" s="215"/>
      <c r="F113" s="216"/>
      <c r="G113" s="101"/>
      <c r="H113" s="100"/>
      <c r="I113" s="129"/>
      <c r="J113" s="300">
        <v>14250000</v>
      </c>
      <c r="K113" s="231"/>
    </row>
    <row r="114" spans="2:11" x14ac:dyDescent="0.2">
      <c r="B114" s="294">
        <v>43126</v>
      </c>
      <c r="C114" s="295"/>
      <c r="D114" s="296" t="s">
        <v>181</v>
      </c>
      <c r="E114" s="215"/>
      <c r="F114" s="216"/>
      <c r="G114" s="101"/>
      <c r="H114" s="100"/>
      <c r="I114" s="129"/>
      <c r="J114" s="300">
        <v>12000000</v>
      </c>
      <c r="K114" s="231"/>
    </row>
    <row r="115" spans="2:11" x14ac:dyDescent="0.2">
      <c r="B115" s="294">
        <v>43126</v>
      </c>
      <c r="C115" s="148"/>
      <c r="D115" s="302" t="s">
        <v>182</v>
      </c>
      <c r="E115" s="297"/>
      <c r="F115" s="298"/>
      <c r="G115" s="299"/>
      <c r="H115" s="303"/>
      <c r="I115" s="304"/>
      <c r="J115" s="300">
        <v>1582100</v>
      </c>
      <c r="K115" s="231"/>
    </row>
    <row r="116" spans="2:11" x14ac:dyDescent="0.2">
      <c r="B116" s="230"/>
      <c r="C116" s="148"/>
      <c r="D116" s="147"/>
      <c r="E116" s="215"/>
      <c r="F116" s="216"/>
      <c r="G116" s="101"/>
      <c r="H116" s="100"/>
      <c r="I116" s="129"/>
      <c r="J116" s="111"/>
      <c r="K116" s="231"/>
    </row>
    <row r="117" spans="2:11" x14ac:dyDescent="0.2">
      <c r="B117" s="230"/>
      <c r="C117" s="148"/>
      <c r="D117" s="147"/>
      <c r="E117" s="215"/>
      <c r="F117" s="216"/>
      <c r="G117" s="101"/>
      <c r="H117" s="100"/>
      <c r="I117" s="129"/>
      <c r="J117" s="111"/>
      <c r="K117" s="231"/>
    </row>
    <row r="118" spans="2:11" x14ac:dyDescent="0.2">
      <c r="B118" s="230"/>
      <c r="C118" s="148"/>
      <c r="D118" s="147"/>
      <c r="E118" s="215"/>
      <c r="F118" s="216"/>
      <c r="G118" s="101"/>
      <c r="H118" s="100"/>
      <c r="I118" s="129"/>
      <c r="J118" s="111"/>
      <c r="K118" s="231"/>
    </row>
    <row r="119" spans="2:11" x14ac:dyDescent="0.2">
      <c r="B119" s="230"/>
      <c r="C119" s="148"/>
      <c r="D119" s="147"/>
      <c r="E119" s="215"/>
      <c r="F119" s="216"/>
      <c r="G119" s="101"/>
      <c r="H119" s="100"/>
      <c r="I119" s="129"/>
      <c r="J119" s="111"/>
      <c r="K119" s="231"/>
    </row>
    <row r="120" spans="2:11" x14ac:dyDescent="0.2">
      <c r="B120" s="230"/>
      <c r="C120" s="148"/>
      <c r="D120" s="147"/>
      <c r="E120" s="215"/>
      <c r="F120" s="216"/>
      <c r="G120" s="101"/>
      <c r="H120" s="100"/>
      <c r="I120" s="129"/>
      <c r="J120" s="111"/>
      <c r="K120" s="231"/>
    </row>
    <row r="121" spans="2:11" x14ac:dyDescent="0.2">
      <c r="B121" s="230"/>
      <c r="C121" s="148"/>
      <c r="D121" s="147"/>
      <c r="E121" s="215"/>
      <c r="F121" s="216"/>
      <c r="G121" s="101"/>
      <c r="H121" s="100"/>
      <c r="I121" s="129"/>
      <c r="J121" s="111"/>
      <c r="K121" s="231"/>
    </row>
    <row r="122" spans="2:11" x14ac:dyDescent="0.2">
      <c r="B122" s="230"/>
      <c r="C122" s="148"/>
      <c r="D122" s="147"/>
      <c r="E122" s="215"/>
      <c r="F122" s="216"/>
      <c r="G122" s="101"/>
      <c r="H122" s="100"/>
      <c r="I122" s="129"/>
      <c r="J122" s="111"/>
      <c r="K122" s="231"/>
    </row>
    <row r="123" spans="2:11" x14ac:dyDescent="0.2">
      <c r="B123" s="230"/>
      <c r="C123" s="148"/>
      <c r="D123" s="147"/>
      <c r="E123" s="215"/>
      <c r="F123" s="216"/>
      <c r="G123" s="101"/>
      <c r="H123" s="100"/>
      <c r="I123" s="129"/>
      <c r="J123" s="111"/>
      <c r="K123" s="231"/>
    </row>
    <row r="124" spans="2:11" x14ac:dyDescent="0.2">
      <c r="B124" s="230"/>
      <c r="C124" s="148"/>
      <c r="D124" s="147"/>
      <c r="E124" s="215"/>
      <c r="F124" s="216"/>
      <c r="G124" s="101"/>
      <c r="H124" s="100"/>
      <c r="I124" s="129"/>
      <c r="J124" s="111"/>
      <c r="K124" s="231"/>
    </row>
    <row r="125" spans="2:11" x14ac:dyDescent="0.2">
      <c r="B125" s="236"/>
      <c r="C125" s="225" t="s">
        <v>42</v>
      </c>
      <c r="D125" s="208" t="s">
        <v>43</v>
      </c>
      <c r="E125" s="226">
        <v>0</v>
      </c>
      <c r="F125" s="227"/>
      <c r="G125" s="209"/>
      <c r="H125" s="209"/>
      <c r="I125" s="209">
        <f t="shared" si="12"/>
        <v>0</v>
      </c>
      <c r="J125" s="228"/>
      <c r="K125" s="237"/>
    </row>
    <row r="126" spans="2:11" x14ac:dyDescent="0.2">
      <c r="B126" s="236"/>
      <c r="C126" s="225" t="s">
        <v>44</v>
      </c>
      <c r="D126" s="225" t="s">
        <v>45</v>
      </c>
      <c r="E126" s="226">
        <v>0</v>
      </c>
      <c r="F126" s="227"/>
      <c r="G126" s="209"/>
      <c r="H126" s="209"/>
      <c r="I126" s="209">
        <f t="shared" si="12"/>
        <v>0</v>
      </c>
      <c r="J126" s="228"/>
      <c r="K126" s="237"/>
    </row>
    <row r="127" spans="2:11" ht="24" customHeight="1" x14ac:dyDescent="0.25">
      <c r="B127" s="267"/>
      <c r="C127" s="268"/>
      <c r="D127" s="269" t="s">
        <v>152</v>
      </c>
      <c r="E127" s="270">
        <f t="shared" ref="E127:J127" si="13">E128+E164+E382</f>
        <v>91648328</v>
      </c>
      <c r="F127" s="270">
        <f t="shared" si="13"/>
        <v>142000000</v>
      </c>
      <c r="G127" s="270">
        <f t="shared" si="13"/>
        <v>2631976</v>
      </c>
      <c r="H127" s="270">
        <f t="shared" si="13"/>
        <v>0</v>
      </c>
      <c r="I127" s="270">
        <f t="shared" si="13"/>
        <v>235330304</v>
      </c>
      <c r="J127" s="270">
        <f t="shared" si="13"/>
        <v>91093638</v>
      </c>
      <c r="K127" s="286">
        <f>I127-J127</f>
        <v>144236666</v>
      </c>
    </row>
    <row r="128" spans="2:11" ht="18" x14ac:dyDescent="0.25">
      <c r="B128" s="271"/>
      <c r="C128" s="249">
        <v>20201201</v>
      </c>
      <c r="D128" s="248" t="s">
        <v>153</v>
      </c>
      <c r="E128" s="250">
        <f t="shared" ref="E128:H128" si="14">E129+E140+E154+E163</f>
        <v>16200000</v>
      </c>
      <c r="F128" s="284">
        <f t="shared" si="14"/>
        <v>20000000</v>
      </c>
      <c r="G128" s="284">
        <f t="shared" si="14"/>
        <v>0</v>
      </c>
      <c r="H128" s="284">
        <f t="shared" si="14"/>
        <v>0</v>
      </c>
      <c r="I128" s="250">
        <f>I129+I140+I154+I163</f>
        <v>36200000</v>
      </c>
      <c r="J128" s="284">
        <f>J129+J140+J154+J163</f>
        <v>17992600</v>
      </c>
      <c r="K128" s="284">
        <f>I128-J128</f>
        <v>18207400</v>
      </c>
    </row>
    <row r="129" spans="2:11" ht="15.75" x14ac:dyDescent="0.25">
      <c r="B129" s="238"/>
      <c r="C129" s="239" t="s">
        <v>48</v>
      </c>
      <c r="D129" s="239" t="s">
        <v>49</v>
      </c>
      <c r="E129" s="241">
        <v>3000000</v>
      </c>
      <c r="F129" s="242">
        <f>SUM(F130:F139)</f>
        <v>0</v>
      </c>
      <c r="G129" s="242">
        <f t="shared" ref="G129:H129" si="15">SUM(G130:G139)</f>
        <v>0</v>
      </c>
      <c r="H129" s="242">
        <f t="shared" si="15"/>
        <v>0</v>
      </c>
      <c r="I129" s="243">
        <f t="shared" ref="I129:I163" si="16">E129+F129+G129-H129</f>
        <v>3000000</v>
      </c>
      <c r="J129" s="244">
        <f>SUM(J130:J139)</f>
        <v>0</v>
      </c>
      <c r="K129" s="245">
        <f>I129-J129</f>
        <v>3000000</v>
      </c>
    </row>
    <row r="130" spans="2:11" x14ac:dyDescent="0.2">
      <c r="B130" s="230"/>
      <c r="C130" s="148"/>
      <c r="D130" s="148"/>
      <c r="E130" s="215"/>
      <c r="F130" s="216"/>
      <c r="G130" s="99"/>
      <c r="H130" s="100"/>
      <c r="I130" s="129"/>
      <c r="J130" s="111"/>
      <c r="K130" s="231"/>
    </row>
    <row r="131" spans="2:11" x14ac:dyDescent="0.2">
      <c r="B131" s="230"/>
      <c r="C131" s="148"/>
      <c r="D131" s="148"/>
      <c r="E131" s="215"/>
      <c r="F131" s="216"/>
      <c r="G131" s="99"/>
      <c r="H131" s="100"/>
      <c r="I131" s="129"/>
      <c r="J131" s="111"/>
      <c r="K131" s="231"/>
    </row>
    <row r="132" spans="2:11" x14ac:dyDescent="0.2">
      <c r="B132" s="230"/>
      <c r="C132" s="148"/>
      <c r="D132" s="148"/>
      <c r="E132" s="215"/>
      <c r="F132" s="216"/>
      <c r="G132" s="99"/>
      <c r="H132" s="100"/>
      <c r="I132" s="129"/>
      <c r="J132" s="111"/>
      <c r="K132" s="231"/>
    </row>
    <row r="133" spans="2:11" x14ac:dyDescent="0.2">
      <c r="B133" s="230"/>
      <c r="C133" s="148"/>
      <c r="D133" s="148"/>
      <c r="E133" s="215"/>
      <c r="F133" s="216"/>
      <c r="G133" s="99"/>
      <c r="H133" s="100"/>
      <c r="I133" s="129"/>
      <c r="J133" s="111"/>
      <c r="K133" s="231"/>
    </row>
    <row r="134" spans="2:11" x14ac:dyDescent="0.2">
      <c r="B134" s="230"/>
      <c r="C134" s="148"/>
      <c r="D134" s="148"/>
      <c r="E134" s="215"/>
      <c r="F134" s="216"/>
      <c r="G134" s="99"/>
      <c r="H134" s="100"/>
      <c r="I134" s="129"/>
      <c r="J134" s="111"/>
      <c r="K134" s="231"/>
    </row>
    <row r="135" spans="2:11" x14ac:dyDescent="0.2">
      <c r="B135" s="230"/>
      <c r="C135" s="148"/>
      <c r="D135" s="148"/>
      <c r="E135" s="215"/>
      <c r="F135" s="216"/>
      <c r="G135" s="99"/>
      <c r="H135" s="100"/>
      <c r="I135" s="129"/>
      <c r="J135" s="111"/>
      <c r="K135" s="231"/>
    </row>
    <row r="136" spans="2:11" x14ac:dyDescent="0.2">
      <c r="B136" s="230"/>
      <c r="C136" s="148"/>
      <c r="D136" s="148"/>
      <c r="E136" s="215"/>
      <c r="F136" s="216"/>
      <c r="G136" s="99"/>
      <c r="H136" s="100"/>
      <c r="I136" s="129"/>
      <c r="J136" s="111"/>
      <c r="K136" s="231"/>
    </row>
    <row r="137" spans="2:11" x14ac:dyDescent="0.2">
      <c r="B137" s="230"/>
      <c r="C137" s="148"/>
      <c r="D137" s="148"/>
      <c r="E137" s="215"/>
      <c r="F137" s="216"/>
      <c r="G137" s="99"/>
      <c r="H137" s="100"/>
      <c r="I137" s="129"/>
      <c r="J137" s="111"/>
      <c r="K137" s="231"/>
    </row>
    <row r="138" spans="2:11" x14ac:dyDescent="0.2">
      <c r="B138" s="230"/>
      <c r="C138" s="148"/>
      <c r="D138" s="148"/>
      <c r="E138" s="215"/>
      <c r="F138" s="216"/>
      <c r="G138" s="99"/>
      <c r="H138" s="100"/>
      <c r="I138" s="129"/>
      <c r="J138" s="111"/>
      <c r="K138" s="231"/>
    </row>
    <row r="139" spans="2:11" x14ac:dyDescent="0.2">
      <c r="B139" s="230"/>
      <c r="C139" s="148"/>
      <c r="D139" s="148"/>
      <c r="E139" s="215"/>
      <c r="F139" s="216"/>
      <c r="G139" s="99"/>
      <c r="H139" s="100"/>
      <c r="I139" s="129"/>
      <c r="J139" s="111"/>
      <c r="K139" s="231"/>
    </row>
    <row r="140" spans="2:11" ht="15.75" x14ac:dyDescent="0.25">
      <c r="B140" s="238"/>
      <c r="C140" s="239" t="s">
        <v>50</v>
      </c>
      <c r="D140" s="239" t="s">
        <v>51</v>
      </c>
      <c r="E140" s="241">
        <v>12000000</v>
      </c>
      <c r="F140" s="278">
        <f>SUM(F141:F153)</f>
        <v>20000000</v>
      </c>
      <c r="G140" s="278">
        <f t="shared" ref="G140:H140" si="17">SUM(G141:G153)</f>
        <v>0</v>
      </c>
      <c r="H140" s="278">
        <f t="shared" si="17"/>
        <v>0</v>
      </c>
      <c r="I140" s="243">
        <f>E140+F140+G140-H140</f>
        <v>32000000</v>
      </c>
      <c r="J140" s="244">
        <f>SUM(J141:J153)</f>
        <v>17992600</v>
      </c>
      <c r="K140" s="245">
        <f>I140-J140</f>
        <v>14007400</v>
      </c>
    </row>
    <row r="141" spans="2:11" x14ac:dyDescent="0.2">
      <c r="B141" s="301">
        <v>43124</v>
      </c>
      <c r="C141" s="148"/>
      <c r="D141" s="149" t="s">
        <v>177</v>
      </c>
      <c r="E141" s="215"/>
      <c r="F141" s="135"/>
      <c r="G141" s="99"/>
      <c r="H141" s="100"/>
      <c r="I141" s="129"/>
      <c r="J141" s="111">
        <v>499800</v>
      </c>
      <c r="K141" s="231"/>
    </row>
    <row r="142" spans="2:11" x14ac:dyDescent="0.2">
      <c r="B142" s="230"/>
      <c r="C142" s="148"/>
      <c r="D142" s="214" t="s">
        <v>184</v>
      </c>
      <c r="E142" s="215"/>
      <c r="F142" s="135">
        <v>20000000</v>
      </c>
      <c r="G142" s="99"/>
      <c r="H142" s="100"/>
      <c r="I142" s="129"/>
      <c r="J142" s="111"/>
      <c r="K142" s="231"/>
    </row>
    <row r="143" spans="2:11" x14ac:dyDescent="0.2">
      <c r="B143" s="301">
        <v>43131</v>
      </c>
      <c r="C143" s="148"/>
      <c r="D143" s="149" t="s">
        <v>186</v>
      </c>
      <c r="E143" s="215"/>
      <c r="F143" s="135"/>
      <c r="G143" s="99"/>
      <c r="H143" s="100"/>
      <c r="I143" s="129"/>
      <c r="J143" s="111">
        <v>1100000</v>
      </c>
      <c r="K143" s="231"/>
    </row>
    <row r="144" spans="2:11" x14ac:dyDescent="0.2">
      <c r="B144" s="230" t="s">
        <v>194</v>
      </c>
      <c r="C144" s="148"/>
      <c r="D144" s="149" t="s">
        <v>195</v>
      </c>
      <c r="E144" s="215"/>
      <c r="F144" s="135"/>
      <c r="G144" s="99"/>
      <c r="H144" s="100"/>
      <c r="I144" s="129"/>
      <c r="J144" s="111">
        <v>14395000</v>
      </c>
      <c r="K144" s="231"/>
    </row>
    <row r="145" spans="2:11" x14ac:dyDescent="0.2">
      <c r="B145" s="301">
        <v>43194</v>
      </c>
      <c r="C145" s="148"/>
      <c r="D145" s="149" t="s">
        <v>214</v>
      </c>
      <c r="E145" s="215"/>
      <c r="F145" s="135"/>
      <c r="G145" s="99"/>
      <c r="H145" s="100"/>
      <c r="I145" s="129"/>
      <c r="J145" s="111">
        <v>900600</v>
      </c>
      <c r="K145" s="231"/>
    </row>
    <row r="146" spans="2:11" x14ac:dyDescent="0.2">
      <c r="B146" s="301">
        <v>43209</v>
      </c>
      <c r="C146" s="148"/>
      <c r="D146" s="149" t="s">
        <v>224</v>
      </c>
      <c r="E146" s="215"/>
      <c r="F146" s="135"/>
      <c r="G146" s="99"/>
      <c r="H146" s="100"/>
      <c r="I146" s="129"/>
      <c r="J146" s="111">
        <v>1097200</v>
      </c>
      <c r="K146" s="231"/>
    </row>
    <row r="147" spans="2:11" x14ac:dyDescent="0.2">
      <c r="B147" s="230"/>
      <c r="C147" s="148"/>
      <c r="D147" s="149"/>
      <c r="E147" s="215"/>
      <c r="F147" s="135"/>
      <c r="G147" s="99"/>
      <c r="H147" s="100"/>
      <c r="I147" s="129"/>
      <c r="J147" s="111"/>
      <c r="K147" s="231"/>
    </row>
    <row r="148" spans="2:11" x14ac:dyDescent="0.2">
      <c r="B148" s="230"/>
      <c r="C148" s="148"/>
      <c r="D148" s="149"/>
      <c r="E148" s="215"/>
      <c r="F148" s="135"/>
      <c r="G148" s="99"/>
      <c r="H148" s="100"/>
      <c r="I148" s="129"/>
      <c r="J148" s="111"/>
      <c r="K148" s="231"/>
    </row>
    <row r="149" spans="2:11" x14ac:dyDescent="0.2">
      <c r="B149" s="230"/>
      <c r="C149" s="148"/>
      <c r="D149" s="149"/>
      <c r="E149" s="215"/>
      <c r="F149" s="135"/>
      <c r="G149" s="99"/>
      <c r="H149" s="100"/>
      <c r="I149" s="129"/>
      <c r="J149" s="111"/>
      <c r="K149" s="231"/>
    </row>
    <row r="150" spans="2:11" x14ac:dyDescent="0.2">
      <c r="B150" s="230"/>
      <c r="C150" s="148"/>
      <c r="D150" s="149"/>
      <c r="E150" s="215"/>
      <c r="F150" s="135"/>
      <c r="G150" s="99"/>
      <c r="H150" s="100"/>
      <c r="I150" s="129"/>
      <c r="J150" s="111"/>
      <c r="K150" s="231"/>
    </row>
    <row r="151" spans="2:11" x14ac:dyDescent="0.2">
      <c r="B151" s="230"/>
      <c r="C151" s="148"/>
      <c r="D151" s="149"/>
      <c r="E151" s="215"/>
      <c r="F151" s="135"/>
      <c r="G151" s="99"/>
      <c r="H151" s="100"/>
      <c r="I151" s="129"/>
      <c r="J151" s="111"/>
      <c r="K151" s="231"/>
    </row>
    <row r="152" spans="2:11" x14ac:dyDescent="0.2">
      <c r="B152" s="230"/>
      <c r="C152" s="148"/>
      <c r="D152" s="149"/>
      <c r="E152" s="215"/>
      <c r="F152" s="135"/>
      <c r="G152" s="99"/>
      <c r="H152" s="100"/>
      <c r="I152" s="129"/>
      <c r="J152" s="111"/>
      <c r="K152" s="231"/>
    </row>
    <row r="153" spans="2:11" x14ac:dyDescent="0.2">
      <c r="B153" s="230"/>
      <c r="C153" s="148"/>
      <c r="D153" s="149"/>
      <c r="E153" s="215"/>
      <c r="F153" s="135"/>
      <c r="G153" s="99"/>
      <c r="H153" s="100"/>
      <c r="I153" s="129"/>
      <c r="J153" s="111"/>
      <c r="K153" s="231"/>
    </row>
    <row r="154" spans="2:11" ht="15.75" x14ac:dyDescent="0.25">
      <c r="B154" s="238"/>
      <c r="C154" s="239" t="s">
        <v>52</v>
      </c>
      <c r="D154" s="239" t="s">
        <v>53</v>
      </c>
      <c r="E154" s="241">
        <v>1200000</v>
      </c>
      <c r="F154" s="242">
        <f>SUM(F155:F162)</f>
        <v>0</v>
      </c>
      <c r="G154" s="242">
        <f>SUM(G155:G162)</f>
        <v>0</v>
      </c>
      <c r="H154" s="242">
        <f t="shared" ref="H154:J154" si="18">SUM(H155:H162)</f>
        <v>0</v>
      </c>
      <c r="I154" s="243">
        <f t="shared" si="16"/>
        <v>1200000</v>
      </c>
      <c r="J154" s="242">
        <f t="shared" si="18"/>
        <v>0</v>
      </c>
      <c r="K154" s="245">
        <f>I154-J154</f>
        <v>1200000</v>
      </c>
    </row>
    <row r="155" spans="2:11" x14ac:dyDescent="0.2">
      <c r="B155" s="230"/>
      <c r="C155" s="148"/>
      <c r="D155" s="148"/>
      <c r="E155" s="215"/>
      <c r="F155" s="216"/>
      <c r="G155" s="99"/>
      <c r="H155" s="100"/>
      <c r="I155" s="129"/>
      <c r="J155" s="111"/>
      <c r="K155" s="231"/>
    </row>
    <row r="156" spans="2:11" x14ac:dyDescent="0.2">
      <c r="B156" s="230"/>
      <c r="C156" s="148"/>
      <c r="D156" s="148"/>
      <c r="E156" s="215"/>
      <c r="F156" s="216"/>
      <c r="G156" s="99"/>
      <c r="H156" s="100"/>
      <c r="I156" s="129"/>
      <c r="J156" s="111"/>
      <c r="K156" s="231"/>
    </row>
    <row r="157" spans="2:11" x14ac:dyDescent="0.2">
      <c r="B157" s="230"/>
      <c r="C157" s="148"/>
      <c r="D157" s="148"/>
      <c r="E157" s="215"/>
      <c r="F157" s="216"/>
      <c r="G157" s="99"/>
      <c r="H157" s="100"/>
      <c r="I157" s="129"/>
      <c r="J157" s="111"/>
      <c r="K157" s="231"/>
    </row>
    <row r="158" spans="2:11" x14ac:dyDescent="0.2">
      <c r="B158" s="230"/>
      <c r="C158" s="148"/>
      <c r="D158" s="148"/>
      <c r="E158" s="215"/>
      <c r="F158" s="216"/>
      <c r="G158" s="99"/>
      <c r="H158" s="100"/>
      <c r="I158" s="129"/>
      <c r="J158" s="111"/>
      <c r="K158" s="231"/>
    </row>
    <row r="159" spans="2:11" x14ac:dyDescent="0.2">
      <c r="B159" s="230"/>
      <c r="C159" s="148"/>
      <c r="D159" s="148"/>
      <c r="E159" s="215"/>
      <c r="F159" s="216"/>
      <c r="G159" s="99"/>
      <c r="H159" s="100"/>
      <c r="I159" s="129"/>
      <c r="J159" s="111"/>
      <c r="K159" s="231"/>
    </row>
    <row r="160" spans="2:11" x14ac:dyDescent="0.2">
      <c r="B160" s="230"/>
      <c r="C160" s="148"/>
      <c r="D160" s="148"/>
      <c r="E160" s="215"/>
      <c r="F160" s="216"/>
      <c r="G160" s="99"/>
      <c r="H160" s="100"/>
      <c r="I160" s="129"/>
      <c r="J160" s="111"/>
      <c r="K160" s="231"/>
    </row>
    <row r="161" spans="2:12" x14ac:dyDescent="0.2">
      <c r="B161" s="230"/>
      <c r="C161" s="148"/>
      <c r="D161" s="148"/>
      <c r="E161" s="215"/>
      <c r="F161" s="216"/>
      <c r="G161" s="99"/>
      <c r="H161" s="100"/>
      <c r="I161" s="129"/>
      <c r="J161" s="111"/>
      <c r="K161" s="231"/>
    </row>
    <row r="162" spans="2:12" x14ac:dyDescent="0.2">
      <c r="B162" s="230"/>
      <c r="C162" s="148"/>
      <c r="D162" s="148"/>
      <c r="E162" s="215"/>
      <c r="F162" s="216"/>
      <c r="G162" s="99"/>
      <c r="H162" s="100"/>
      <c r="I162" s="129"/>
      <c r="J162" s="111"/>
      <c r="K162" s="231"/>
    </row>
    <row r="163" spans="2:12" x14ac:dyDescent="0.2">
      <c r="B163" s="232"/>
      <c r="C163" s="217" t="s">
        <v>54</v>
      </c>
      <c r="D163" s="217" t="s">
        <v>55</v>
      </c>
      <c r="E163" s="218">
        <v>0</v>
      </c>
      <c r="F163" s="219">
        <v>0</v>
      </c>
      <c r="G163" s="213">
        <v>0</v>
      </c>
      <c r="H163" s="213">
        <v>0</v>
      </c>
      <c r="I163" s="213">
        <f t="shared" si="16"/>
        <v>0</v>
      </c>
      <c r="J163" s="220"/>
      <c r="K163" s="233"/>
    </row>
    <row r="164" spans="2:12" ht="18" x14ac:dyDescent="0.25">
      <c r="B164" s="271"/>
      <c r="C164" s="249" t="s">
        <v>56</v>
      </c>
      <c r="D164" s="272" t="s">
        <v>154</v>
      </c>
      <c r="E164" s="273">
        <f>E165+E186+E243+E263+E278+E304+E326+E337+E341+E350+E360+E367+E372+E377+E379+E382</f>
        <v>75448328</v>
      </c>
      <c r="F164" s="273">
        <f>F165+F186+F243+F263+F278+F304+F326+F337+F341+F350+F360+F367+F372+F377+F379+F382</f>
        <v>122000000</v>
      </c>
      <c r="G164" s="273">
        <f>G165+G186+G243+G263+G278+G304+G326+G337+G341+G350+G360+G367+G372+G377+G379+G382</f>
        <v>1631976</v>
      </c>
      <c r="H164" s="273">
        <f>H165+H186+H243+H263+H278+H304+H326+H337+H341+H350+H360+H367+H372+H377+H379+H382</f>
        <v>0</v>
      </c>
      <c r="I164" s="273">
        <f>I165+I186+I243+I263+I278+I304+I326+I337+I341+I350+I360+I367+I372+I377+I382</f>
        <v>198130304</v>
      </c>
      <c r="J164" s="273">
        <f>J165+J186+J243+J263+J278+J304+J326+J337+J341+J350+J360+J367+J372+J377+J379+J382</f>
        <v>73101038</v>
      </c>
      <c r="K164" s="287">
        <f>I164-J164</f>
        <v>125029266</v>
      </c>
    </row>
    <row r="165" spans="2:12" ht="15.75" x14ac:dyDescent="0.25">
      <c r="B165" s="238"/>
      <c r="C165" s="239" t="s">
        <v>58</v>
      </c>
      <c r="D165" s="239" t="s">
        <v>59</v>
      </c>
      <c r="E165" s="241">
        <v>180000</v>
      </c>
      <c r="F165" s="278">
        <f>SUM(F166:F185)</f>
        <v>31000000</v>
      </c>
      <c r="G165" s="278">
        <f t="shared" ref="G165:J165" si="19">SUM(G166:G185)</f>
        <v>0</v>
      </c>
      <c r="H165" s="278">
        <f t="shared" si="19"/>
        <v>0</v>
      </c>
      <c r="I165" s="243">
        <f>E165+F165+G165-H165</f>
        <v>31180000</v>
      </c>
      <c r="J165" s="278">
        <f t="shared" si="19"/>
        <v>18461000</v>
      </c>
      <c r="K165" s="245">
        <f>I165-J165</f>
        <v>12719000</v>
      </c>
    </row>
    <row r="166" spans="2:12" x14ac:dyDescent="0.2">
      <c r="B166" s="230"/>
      <c r="C166" s="148"/>
      <c r="D166" s="214" t="s">
        <v>184</v>
      </c>
      <c r="E166" s="215"/>
      <c r="F166" s="135">
        <v>16000000</v>
      </c>
      <c r="G166" s="101"/>
      <c r="H166" s="100"/>
      <c r="I166" s="129"/>
      <c r="J166" s="111"/>
      <c r="K166" s="231"/>
    </row>
    <row r="167" spans="2:12" x14ac:dyDescent="0.2">
      <c r="B167" s="301">
        <v>43131</v>
      </c>
      <c r="C167" s="148"/>
      <c r="D167" s="148" t="s">
        <v>186</v>
      </c>
      <c r="E167" s="215"/>
      <c r="F167" s="135"/>
      <c r="G167" s="101"/>
      <c r="H167" s="100"/>
      <c r="I167" s="129"/>
      <c r="J167" s="111">
        <v>1200000</v>
      </c>
      <c r="K167" s="231"/>
    </row>
    <row r="168" spans="2:12" x14ac:dyDescent="0.2">
      <c r="D168" s="103" t="s">
        <v>216</v>
      </c>
      <c r="E168" s="215"/>
      <c r="F168" s="135"/>
      <c r="G168" s="101"/>
      <c r="H168" s="100"/>
      <c r="I168" s="129"/>
      <c r="J168" s="111">
        <v>14930000</v>
      </c>
      <c r="K168" s="231"/>
    </row>
    <row r="169" spans="2:12" x14ac:dyDescent="0.2">
      <c r="B169" s="301">
        <v>43193</v>
      </c>
      <c r="C169" s="148"/>
      <c r="D169" s="148" t="s">
        <v>215</v>
      </c>
      <c r="E169" s="215"/>
      <c r="F169" s="135">
        <v>15000000</v>
      </c>
      <c r="G169" s="101"/>
      <c r="H169" s="100"/>
      <c r="I169" s="129"/>
      <c r="J169" s="348"/>
      <c r="K169" s="231"/>
      <c r="L169" s="348">
        <v>15000000</v>
      </c>
    </row>
    <row r="170" spans="2:12" x14ac:dyDescent="0.2">
      <c r="B170" s="301">
        <v>43194</v>
      </c>
      <c r="C170" s="148"/>
      <c r="D170" s="148" t="s">
        <v>214</v>
      </c>
      <c r="E170" s="215"/>
      <c r="F170" s="135"/>
      <c r="G170" s="101"/>
      <c r="H170" s="100"/>
      <c r="I170" s="129"/>
      <c r="J170" s="348">
        <v>1135000</v>
      </c>
      <c r="K170" s="231"/>
      <c r="L170" s="348">
        <v>1135000</v>
      </c>
    </row>
    <row r="171" spans="2:12" x14ac:dyDescent="0.2">
      <c r="B171" s="301">
        <v>43224</v>
      </c>
      <c r="C171" s="148"/>
      <c r="D171" s="148" t="s">
        <v>214</v>
      </c>
      <c r="E171" s="215"/>
      <c r="F171" s="135"/>
      <c r="G171" s="101"/>
      <c r="H171" s="100"/>
      <c r="I171" s="129"/>
      <c r="J171" s="111">
        <v>1196000</v>
      </c>
      <c r="K171" s="231"/>
    </row>
    <row r="172" spans="2:12" x14ac:dyDescent="0.2">
      <c r="B172" s="230"/>
      <c r="C172" s="148"/>
      <c r="D172" s="148"/>
      <c r="E172" s="215"/>
      <c r="F172" s="135"/>
      <c r="G172" s="101"/>
      <c r="H172" s="100"/>
      <c r="I172" s="129"/>
      <c r="J172" s="111"/>
      <c r="K172" s="231"/>
    </row>
    <row r="173" spans="2:12" x14ac:dyDescent="0.2">
      <c r="B173" s="230"/>
      <c r="C173" s="148"/>
      <c r="D173" s="148"/>
      <c r="E173" s="215"/>
      <c r="F173" s="135"/>
      <c r="G173" s="101"/>
      <c r="H173" s="100"/>
      <c r="I173" s="129"/>
      <c r="J173" s="111"/>
      <c r="K173" s="231"/>
    </row>
    <row r="174" spans="2:12" x14ac:dyDescent="0.2">
      <c r="B174" s="230"/>
      <c r="C174" s="148"/>
      <c r="D174" s="148"/>
      <c r="E174" s="215"/>
      <c r="F174" s="135"/>
      <c r="G174" s="101"/>
      <c r="H174" s="100"/>
      <c r="I174" s="129"/>
      <c r="J174" s="111"/>
      <c r="K174" s="231"/>
    </row>
    <row r="175" spans="2:12" x14ac:dyDescent="0.2">
      <c r="B175" s="230"/>
      <c r="C175" s="148"/>
      <c r="D175" s="148"/>
      <c r="E175" s="215"/>
      <c r="F175" s="135"/>
      <c r="G175" s="101"/>
      <c r="H175" s="100"/>
      <c r="I175" s="129"/>
      <c r="J175" s="111"/>
      <c r="K175" s="231"/>
    </row>
    <row r="176" spans="2:12" x14ac:dyDescent="0.2">
      <c r="B176" s="230"/>
      <c r="C176" s="148"/>
      <c r="D176" s="148"/>
      <c r="E176" s="215"/>
      <c r="F176" s="135"/>
      <c r="G176" s="101"/>
      <c r="H176" s="100"/>
      <c r="I176" s="129"/>
      <c r="J176" s="111"/>
      <c r="K176" s="231"/>
    </row>
    <row r="177" spans="1:12" x14ac:dyDescent="0.2">
      <c r="B177" s="230"/>
      <c r="C177" s="148"/>
      <c r="D177" s="148"/>
      <c r="E177" s="215"/>
      <c r="F177" s="135"/>
      <c r="G177" s="101"/>
      <c r="H177" s="100"/>
      <c r="I177" s="129"/>
      <c r="J177" s="111"/>
      <c r="K177" s="231"/>
    </row>
    <row r="178" spans="1:12" x14ac:dyDescent="0.2">
      <c r="B178" s="230"/>
      <c r="C178" s="148"/>
      <c r="D178" s="148"/>
      <c r="E178" s="215"/>
      <c r="F178" s="135"/>
      <c r="G178" s="101"/>
      <c r="H178" s="100"/>
      <c r="I178" s="129"/>
      <c r="J178" s="111"/>
      <c r="K178" s="231"/>
    </row>
    <row r="179" spans="1:12" x14ac:dyDescent="0.2">
      <c r="B179" s="230"/>
      <c r="C179" s="148"/>
      <c r="D179" s="148"/>
      <c r="E179" s="215"/>
      <c r="F179" s="135"/>
      <c r="G179" s="101"/>
      <c r="H179" s="100"/>
      <c r="I179" s="129"/>
      <c r="J179" s="111"/>
      <c r="K179" s="231"/>
    </row>
    <row r="180" spans="1:12" x14ac:dyDescent="0.2">
      <c r="B180" s="230"/>
      <c r="C180" s="148"/>
      <c r="D180" s="148"/>
      <c r="E180" s="215"/>
      <c r="F180" s="135"/>
      <c r="G180" s="101"/>
      <c r="H180" s="100"/>
      <c r="I180" s="129"/>
      <c r="J180" s="111"/>
      <c r="K180" s="231"/>
    </row>
    <row r="181" spans="1:12" x14ac:dyDescent="0.2">
      <c r="B181" s="230"/>
      <c r="C181" s="148"/>
      <c r="D181" s="148"/>
      <c r="E181" s="215"/>
      <c r="F181" s="135"/>
      <c r="G181" s="101"/>
      <c r="H181" s="100"/>
      <c r="I181" s="129"/>
      <c r="J181" s="111"/>
      <c r="K181" s="231"/>
    </row>
    <row r="182" spans="1:12" x14ac:dyDescent="0.2">
      <c r="B182" s="230"/>
      <c r="C182" s="148"/>
      <c r="D182" s="148"/>
      <c r="E182" s="215"/>
      <c r="F182" s="135"/>
      <c r="G182" s="101"/>
      <c r="H182" s="100"/>
      <c r="I182" s="129"/>
      <c r="J182" s="111"/>
      <c r="K182" s="231"/>
    </row>
    <row r="183" spans="1:12" x14ac:dyDescent="0.2">
      <c r="B183" s="230"/>
      <c r="C183" s="148"/>
      <c r="D183" s="148"/>
      <c r="E183" s="215"/>
      <c r="F183" s="135"/>
      <c r="G183" s="101"/>
      <c r="H183" s="100"/>
      <c r="I183" s="129"/>
      <c r="J183" s="111"/>
      <c r="K183" s="231"/>
    </row>
    <row r="184" spans="1:12" x14ac:dyDescent="0.2">
      <c r="B184" s="230"/>
      <c r="C184" s="148"/>
      <c r="D184" s="148"/>
      <c r="E184" s="215"/>
      <c r="F184" s="135"/>
      <c r="G184" s="101"/>
      <c r="H184" s="100"/>
      <c r="I184" s="129"/>
      <c r="J184" s="111"/>
      <c r="K184" s="231"/>
    </row>
    <row r="185" spans="1:12" x14ac:dyDescent="0.2">
      <c r="B185" s="230"/>
      <c r="C185" s="148"/>
      <c r="D185" s="148"/>
      <c r="E185" s="215"/>
      <c r="F185" s="135"/>
      <c r="G185" s="101"/>
      <c r="H185" s="100"/>
      <c r="I185" s="129"/>
      <c r="J185" s="111"/>
      <c r="K185" s="231"/>
    </row>
    <row r="186" spans="1:12" ht="15.75" x14ac:dyDescent="0.25">
      <c r="B186" s="238"/>
      <c r="C186" s="239">
        <v>2020120202</v>
      </c>
      <c r="D186" s="239" t="s">
        <v>61</v>
      </c>
      <c r="E186" s="241">
        <v>39298328</v>
      </c>
      <c r="F186" s="278">
        <f>SUM(F187:F242)</f>
        <v>50000000</v>
      </c>
      <c r="G186" s="278">
        <f t="shared" ref="G186:J186" si="20">SUM(G187:G242)</f>
        <v>0</v>
      </c>
      <c r="H186" s="278">
        <f t="shared" si="20"/>
        <v>0</v>
      </c>
      <c r="I186" s="243">
        <f t="shared" ref="I186:I560" si="21">E186+F186+G186-H186</f>
        <v>89298328</v>
      </c>
      <c r="J186" s="278">
        <f t="shared" si="20"/>
        <v>40254218</v>
      </c>
      <c r="K186" s="245">
        <f>I186-J186</f>
        <v>49044110</v>
      </c>
    </row>
    <row r="187" spans="1:12" x14ac:dyDescent="0.2">
      <c r="A187" s="103">
        <v>1</v>
      </c>
      <c r="B187" s="301">
        <v>43132</v>
      </c>
      <c r="C187" s="148"/>
      <c r="D187" s="148" t="s">
        <v>158</v>
      </c>
      <c r="E187" s="215"/>
      <c r="F187" s="135"/>
      <c r="G187" s="101"/>
      <c r="H187" s="100"/>
      <c r="I187" s="129"/>
      <c r="J187" s="111">
        <v>606071</v>
      </c>
      <c r="K187" s="231"/>
    </row>
    <row r="188" spans="1:12" x14ac:dyDescent="0.2">
      <c r="A188" s="103">
        <v>2</v>
      </c>
      <c r="B188" s="301">
        <v>43132</v>
      </c>
      <c r="C188" s="148"/>
      <c r="D188" s="148" t="s">
        <v>188</v>
      </c>
      <c r="E188" s="215"/>
      <c r="F188" s="135"/>
      <c r="G188" s="101"/>
      <c r="H188" s="100"/>
      <c r="I188" s="129"/>
      <c r="J188" s="111">
        <v>268544</v>
      </c>
      <c r="K188" s="231"/>
    </row>
    <row r="189" spans="1:12" x14ac:dyDescent="0.2">
      <c r="A189" s="103">
        <v>3</v>
      </c>
      <c r="B189" s="301">
        <v>43145</v>
      </c>
      <c r="C189" s="148"/>
      <c r="D189" s="148" t="s">
        <v>158</v>
      </c>
      <c r="E189" s="215"/>
      <c r="F189" s="135"/>
      <c r="G189" s="101"/>
      <c r="H189" s="100"/>
      <c r="I189" s="129"/>
      <c r="J189" s="111">
        <v>909107</v>
      </c>
      <c r="K189" s="231"/>
      <c r="L189" s="116">
        <f>K186</f>
        <v>49044110</v>
      </c>
    </row>
    <row r="190" spans="1:12" x14ac:dyDescent="0.2">
      <c r="A190" s="103">
        <v>4</v>
      </c>
      <c r="B190" s="301">
        <v>43145</v>
      </c>
      <c r="C190" s="148"/>
      <c r="D190" s="148" t="s">
        <v>188</v>
      </c>
      <c r="E190" s="215"/>
      <c r="F190" s="135"/>
      <c r="G190" s="101"/>
      <c r="H190" s="100"/>
      <c r="I190" s="129"/>
      <c r="J190" s="111">
        <v>332816</v>
      </c>
      <c r="K190" s="231"/>
    </row>
    <row r="191" spans="1:12" x14ac:dyDescent="0.2">
      <c r="A191" s="103">
        <v>5</v>
      </c>
      <c r="B191" s="301">
        <v>43151</v>
      </c>
      <c r="C191" s="148"/>
      <c r="D191" s="148" t="s">
        <v>158</v>
      </c>
      <c r="E191" s="215"/>
      <c r="F191" s="135"/>
      <c r="G191" s="101"/>
      <c r="H191" s="100"/>
      <c r="I191" s="129"/>
      <c r="J191" s="111">
        <v>636000</v>
      </c>
      <c r="K191" s="231"/>
    </row>
    <row r="192" spans="1:12" x14ac:dyDescent="0.2">
      <c r="A192" s="103">
        <v>6</v>
      </c>
      <c r="B192" s="301">
        <v>43151</v>
      </c>
      <c r="C192" s="148"/>
      <c r="D192" s="148" t="s">
        <v>188</v>
      </c>
      <c r="E192" s="215"/>
      <c r="F192" s="135"/>
      <c r="G192" s="101"/>
      <c r="H192" s="100"/>
      <c r="I192" s="129"/>
      <c r="J192" s="111">
        <v>275000</v>
      </c>
      <c r="K192" s="231"/>
    </row>
    <row r="193" spans="1:14" x14ac:dyDescent="0.2">
      <c r="A193" s="103">
        <v>7</v>
      </c>
      <c r="B193" s="301">
        <v>43151</v>
      </c>
      <c r="C193" s="148"/>
      <c r="D193" s="148" t="s">
        <v>196</v>
      </c>
      <c r="E193" s="215"/>
      <c r="F193" s="135"/>
      <c r="G193" s="101"/>
      <c r="H193" s="100"/>
      <c r="I193" s="129"/>
      <c r="J193" s="111">
        <v>1433100</v>
      </c>
      <c r="K193" s="231"/>
    </row>
    <row r="194" spans="1:14" x14ac:dyDescent="0.2">
      <c r="A194" s="103">
        <v>8</v>
      </c>
      <c r="B194" s="301">
        <v>43151</v>
      </c>
      <c r="C194" s="148"/>
      <c r="D194" s="148" t="s">
        <v>197</v>
      </c>
      <c r="E194" s="215"/>
      <c r="F194" s="135"/>
      <c r="G194" s="101"/>
      <c r="H194" s="100"/>
      <c r="I194" s="129"/>
      <c r="J194" s="111">
        <v>1433100</v>
      </c>
      <c r="K194" s="231"/>
    </row>
    <row r="195" spans="1:14" x14ac:dyDescent="0.2">
      <c r="A195" s="103">
        <v>9</v>
      </c>
      <c r="B195" s="301">
        <v>43151</v>
      </c>
      <c r="C195" s="148"/>
      <c r="D195" s="148" t="s">
        <v>198</v>
      </c>
      <c r="E195" s="215"/>
      <c r="F195" s="135"/>
      <c r="G195" s="101"/>
      <c r="H195" s="100"/>
      <c r="I195" s="129"/>
      <c r="J195" s="111">
        <v>1329600</v>
      </c>
      <c r="K195" s="231"/>
    </row>
    <row r="196" spans="1:14" x14ac:dyDescent="0.2">
      <c r="A196" s="103">
        <v>10</v>
      </c>
      <c r="B196" s="301">
        <v>43152</v>
      </c>
      <c r="C196" s="148"/>
      <c r="D196" s="148" t="s">
        <v>158</v>
      </c>
      <c r="E196" s="215"/>
      <c r="F196" s="135"/>
      <c r="G196" s="101"/>
      <c r="H196" s="100"/>
      <c r="I196" s="129"/>
      <c r="J196" s="111">
        <v>2235330</v>
      </c>
      <c r="K196" s="231"/>
    </row>
    <row r="197" spans="1:14" x14ac:dyDescent="0.2">
      <c r="A197" s="103">
        <v>11</v>
      </c>
      <c r="B197" s="301">
        <v>43154</v>
      </c>
      <c r="C197" s="148"/>
      <c r="D197" s="148" t="s">
        <v>199</v>
      </c>
      <c r="E197" s="215"/>
      <c r="F197" s="135"/>
      <c r="G197" s="101"/>
      <c r="H197" s="100"/>
      <c r="I197" s="129"/>
      <c r="J197" s="111">
        <v>1044500</v>
      </c>
      <c r="K197" s="231"/>
    </row>
    <row r="198" spans="1:14" x14ac:dyDescent="0.2">
      <c r="A198" s="103">
        <v>12</v>
      </c>
      <c r="B198" s="301">
        <v>43154</v>
      </c>
      <c r="C198" s="148"/>
      <c r="D198" s="148" t="s">
        <v>158</v>
      </c>
      <c r="E198" s="215"/>
      <c r="F198" s="135"/>
      <c r="G198" s="101"/>
      <c r="H198" s="100"/>
      <c r="I198" s="129"/>
      <c r="J198" s="111">
        <v>2644000</v>
      </c>
      <c r="K198" s="231"/>
    </row>
    <row r="199" spans="1:14" x14ac:dyDescent="0.2">
      <c r="A199" s="103">
        <v>13</v>
      </c>
      <c r="B199" s="301">
        <v>43154</v>
      </c>
      <c r="C199" s="148"/>
      <c r="D199" s="148" t="s">
        <v>188</v>
      </c>
      <c r="E199" s="215"/>
      <c r="F199" s="135"/>
      <c r="G199" s="101"/>
      <c r="H199" s="100"/>
      <c r="I199" s="129"/>
      <c r="J199" s="111">
        <v>270000</v>
      </c>
      <c r="K199" s="231"/>
    </row>
    <row r="200" spans="1:14" x14ac:dyDescent="0.2">
      <c r="A200" s="103">
        <v>14</v>
      </c>
      <c r="B200" s="301">
        <v>43172</v>
      </c>
      <c r="C200" s="148"/>
      <c r="D200" s="148" t="s">
        <v>188</v>
      </c>
      <c r="E200" s="215"/>
      <c r="F200" s="135"/>
      <c r="G200" s="101"/>
      <c r="H200" s="100"/>
      <c r="I200" s="129"/>
      <c r="J200" s="111">
        <v>462500</v>
      </c>
      <c r="K200" s="231"/>
    </row>
    <row r="201" spans="1:14" x14ac:dyDescent="0.2">
      <c r="A201" s="103">
        <v>15</v>
      </c>
      <c r="B201" s="301">
        <v>42810</v>
      </c>
      <c r="C201" s="148"/>
      <c r="D201" s="148" t="s">
        <v>197</v>
      </c>
      <c r="E201" s="215"/>
      <c r="F201" s="135"/>
      <c r="G201" s="101"/>
      <c r="H201" s="100"/>
      <c r="I201" s="129"/>
      <c r="J201" s="111">
        <v>1945000</v>
      </c>
      <c r="K201" s="231"/>
      <c r="N201" s="103">
        <f>25*2720</f>
        <v>68000</v>
      </c>
    </row>
    <row r="202" spans="1:14" x14ac:dyDescent="0.2">
      <c r="A202" s="103">
        <v>16</v>
      </c>
      <c r="B202" s="301">
        <v>42820</v>
      </c>
      <c r="C202" s="148"/>
      <c r="D202" s="148" t="s">
        <v>199</v>
      </c>
      <c r="E202" s="215"/>
      <c r="F202" s="135"/>
      <c r="G202" s="101"/>
      <c r="H202" s="100"/>
      <c r="I202" s="129"/>
      <c r="J202" s="111">
        <v>2263000</v>
      </c>
      <c r="K202" s="231"/>
    </row>
    <row r="203" spans="1:14" x14ac:dyDescent="0.2">
      <c r="A203" s="103">
        <v>17</v>
      </c>
      <c r="B203" s="301">
        <v>42820</v>
      </c>
      <c r="C203" s="148"/>
      <c r="D203" s="148" t="s">
        <v>197</v>
      </c>
      <c r="E203" s="215"/>
      <c r="F203" s="135"/>
      <c r="G203" s="101"/>
      <c r="H203" s="100"/>
      <c r="I203" s="129"/>
      <c r="J203" s="111">
        <v>2011000</v>
      </c>
      <c r="K203" s="231"/>
    </row>
    <row r="204" spans="1:14" x14ac:dyDescent="0.2">
      <c r="A204" s="103">
        <v>18</v>
      </c>
      <c r="B204" s="301">
        <v>42820</v>
      </c>
      <c r="C204" s="148"/>
      <c r="D204" s="148" t="s">
        <v>196</v>
      </c>
      <c r="E204" s="215"/>
      <c r="F204" s="135"/>
      <c r="G204" s="101"/>
      <c r="H204" s="100"/>
      <c r="I204" s="129"/>
      <c r="J204" s="111">
        <v>2011000</v>
      </c>
      <c r="K204" s="231"/>
    </row>
    <row r="205" spans="1:14" x14ac:dyDescent="0.2">
      <c r="A205" s="103">
        <v>19</v>
      </c>
      <c r="B205" s="301">
        <v>42820</v>
      </c>
      <c r="C205" s="148"/>
      <c r="D205" s="148" t="s">
        <v>198</v>
      </c>
      <c r="E205" s="215"/>
      <c r="F205" s="135"/>
      <c r="G205" s="101"/>
      <c r="H205" s="100"/>
      <c r="I205" s="129"/>
      <c r="J205" s="111">
        <v>1750000</v>
      </c>
      <c r="K205" s="231"/>
    </row>
    <row r="206" spans="1:14" x14ac:dyDescent="0.2">
      <c r="B206" s="301">
        <v>43193</v>
      </c>
      <c r="C206" s="148"/>
      <c r="D206" s="358" t="s">
        <v>217</v>
      </c>
      <c r="E206" s="215"/>
      <c r="F206" s="135">
        <v>50000000</v>
      </c>
      <c r="G206" s="101"/>
      <c r="H206" s="100"/>
      <c r="I206" s="129"/>
      <c r="J206" s="111"/>
      <c r="K206" s="214"/>
      <c r="L206" s="357"/>
    </row>
    <row r="207" spans="1:14" x14ac:dyDescent="0.2">
      <c r="A207" s="103">
        <v>20</v>
      </c>
      <c r="B207" s="301">
        <v>43163</v>
      </c>
      <c r="C207" s="148"/>
      <c r="D207" s="148" t="s">
        <v>158</v>
      </c>
      <c r="E207" s="215"/>
      <c r="F207" s="135"/>
      <c r="G207" s="101"/>
      <c r="H207" s="100"/>
      <c r="I207" s="129"/>
      <c r="J207" s="111">
        <v>313000</v>
      </c>
      <c r="K207" s="214"/>
      <c r="L207" s="102"/>
    </row>
    <row r="208" spans="1:14" x14ac:dyDescent="0.2">
      <c r="A208" s="103">
        <v>21</v>
      </c>
      <c r="B208" s="301">
        <v>43194</v>
      </c>
      <c r="C208" s="148"/>
      <c r="D208" s="148" t="s">
        <v>188</v>
      </c>
      <c r="E208" s="215"/>
      <c r="F208" s="135"/>
      <c r="G208" s="101"/>
      <c r="H208" s="100"/>
      <c r="I208" s="129"/>
      <c r="J208" s="111">
        <v>67500</v>
      </c>
      <c r="K208" s="214"/>
      <c r="L208" s="107"/>
    </row>
    <row r="209" spans="1:12" x14ac:dyDescent="0.2">
      <c r="A209" s="103">
        <v>22</v>
      </c>
      <c r="B209" s="301">
        <v>43195</v>
      </c>
      <c r="C209" s="148"/>
      <c r="D209" s="148" t="s">
        <v>158</v>
      </c>
      <c r="E209" s="215"/>
      <c r="F209" s="135"/>
      <c r="G209" s="101"/>
      <c r="H209" s="100"/>
      <c r="I209" s="129"/>
      <c r="J209" s="111">
        <v>1054000</v>
      </c>
      <c r="K209" s="214"/>
      <c r="L209" s="107"/>
    </row>
    <row r="210" spans="1:12" x14ac:dyDescent="0.2">
      <c r="A210" s="103">
        <v>23</v>
      </c>
      <c r="B210" s="301">
        <v>43206</v>
      </c>
      <c r="C210" s="148"/>
      <c r="D210" s="148" t="s">
        <v>199</v>
      </c>
      <c r="E210" s="215"/>
      <c r="F210" s="135"/>
      <c r="G210" s="101"/>
      <c r="H210" s="100"/>
      <c r="I210" s="129"/>
      <c r="J210" s="111">
        <v>494000</v>
      </c>
      <c r="K210" s="231"/>
    </row>
    <row r="211" spans="1:12" x14ac:dyDescent="0.2">
      <c r="A211" s="103">
        <v>24</v>
      </c>
      <c r="B211" s="301">
        <v>43206</v>
      </c>
      <c r="C211" s="148"/>
      <c r="D211" s="148" t="s">
        <v>197</v>
      </c>
      <c r="E211" s="215"/>
      <c r="F211" s="135"/>
      <c r="G211" s="101"/>
      <c r="H211" s="100"/>
      <c r="I211" s="129"/>
      <c r="J211" s="111">
        <v>438000</v>
      </c>
      <c r="K211" s="231"/>
    </row>
    <row r="212" spans="1:12" x14ac:dyDescent="0.2">
      <c r="A212" s="103">
        <v>25</v>
      </c>
      <c r="B212" s="301">
        <v>43206</v>
      </c>
      <c r="C212" s="148"/>
      <c r="D212" s="148" t="s">
        <v>196</v>
      </c>
      <c r="E212" s="215"/>
      <c r="F212" s="135"/>
      <c r="G212" s="101"/>
      <c r="H212" s="100"/>
      <c r="I212" s="129"/>
      <c r="J212" s="111">
        <v>438000</v>
      </c>
      <c r="K212" s="231"/>
    </row>
    <row r="213" spans="1:12" x14ac:dyDescent="0.2">
      <c r="A213" s="103">
        <v>26</v>
      </c>
      <c r="B213" s="301">
        <v>43206</v>
      </c>
      <c r="C213" s="148"/>
      <c r="D213" s="148" t="s">
        <v>198</v>
      </c>
      <c r="E213" s="215"/>
      <c r="F213" s="135"/>
      <c r="G213" s="101"/>
      <c r="H213" s="100"/>
      <c r="I213" s="129"/>
      <c r="J213" s="111">
        <v>380000</v>
      </c>
      <c r="K213" s="231"/>
    </row>
    <row r="214" spans="1:12" x14ac:dyDescent="0.2">
      <c r="A214" s="103">
        <v>27</v>
      </c>
      <c r="B214" s="301">
        <v>43207</v>
      </c>
      <c r="C214" s="148"/>
      <c r="D214" s="148" t="s">
        <v>223</v>
      </c>
      <c r="E214" s="215"/>
      <c r="F214" s="135"/>
      <c r="G214" s="101"/>
      <c r="H214" s="100"/>
      <c r="I214" s="129"/>
      <c r="J214" s="111">
        <v>372500</v>
      </c>
      <c r="K214" s="231"/>
    </row>
    <row r="215" spans="1:12" x14ac:dyDescent="0.2">
      <c r="A215" s="103">
        <v>28</v>
      </c>
      <c r="B215" s="301">
        <v>43215</v>
      </c>
      <c r="C215" s="148"/>
      <c r="D215" s="148" t="s">
        <v>223</v>
      </c>
      <c r="E215" s="215"/>
      <c r="F215" s="135"/>
      <c r="G215" s="101"/>
      <c r="H215" s="100"/>
      <c r="I215" s="129"/>
      <c r="J215" s="111">
        <v>129500</v>
      </c>
      <c r="K215" s="231"/>
    </row>
    <row r="216" spans="1:12" x14ac:dyDescent="0.2">
      <c r="A216" s="103">
        <v>29</v>
      </c>
      <c r="B216" s="301">
        <v>43222</v>
      </c>
      <c r="C216" s="148"/>
      <c r="D216" s="148" t="s">
        <v>158</v>
      </c>
      <c r="E216" s="215"/>
      <c r="F216" s="135"/>
      <c r="G216" s="101"/>
      <c r="H216" s="100"/>
      <c r="I216" s="129"/>
      <c r="J216" s="111">
        <v>1590000</v>
      </c>
      <c r="K216" s="231"/>
    </row>
    <row r="217" spans="1:12" x14ac:dyDescent="0.2">
      <c r="A217" s="103">
        <v>30</v>
      </c>
      <c r="B217" s="301">
        <v>43222</v>
      </c>
      <c r="C217" s="148"/>
      <c r="D217" s="148" t="s">
        <v>160</v>
      </c>
      <c r="E217" s="215"/>
      <c r="F217" s="135"/>
      <c r="G217" s="101"/>
      <c r="H217" s="100"/>
      <c r="I217" s="129"/>
      <c r="J217" s="111">
        <v>617500</v>
      </c>
      <c r="K217" s="231"/>
    </row>
    <row r="218" spans="1:12" x14ac:dyDescent="0.2">
      <c r="A218" s="103">
        <v>31</v>
      </c>
      <c r="B218" s="301">
        <v>43222</v>
      </c>
      <c r="C218" s="148"/>
      <c r="D218" s="148" t="s">
        <v>188</v>
      </c>
      <c r="E218" s="215"/>
      <c r="F218" s="135"/>
      <c r="G218" s="101"/>
      <c r="H218" s="100"/>
      <c r="I218" s="129"/>
      <c r="J218" s="111">
        <v>457500</v>
      </c>
      <c r="K218" s="231"/>
    </row>
    <row r="219" spans="1:12" x14ac:dyDescent="0.2">
      <c r="A219" s="103">
        <v>29</v>
      </c>
      <c r="B219" s="301">
        <v>43224</v>
      </c>
      <c r="C219" s="148"/>
      <c r="D219" s="148" t="s">
        <v>158</v>
      </c>
      <c r="E219" s="215"/>
      <c r="F219" s="135"/>
      <c r="G219" s="101"/>
      <c r="H219" s="100"/>
      <c r="I219" s="129"/>
      <c r="J219" s="111">
        <v>636000</v>
      </c>
      <c r="K219" s="231"/>
    </row>
    <row r="220" spans="1:12" x14ac:dyDescent="0.2">
      <c r="B220" s="301">
        <v>43231</v>
      </c>
      <c r="C220" s="148"/>
      <c r="D220" s="148" t="s">
        <v>228</v>
      </c>
      <c r="E220" s="215"/>
      <c r="F220" s="135"/>
      <c r="G220" s="101"/>
      <c r="H220" s="100"/>
      <c r="I220" s="129"/>
      <c r="J220" s="111">
        <v>1457310</v>
      </c>
      <c r="K220" s="231"/>
    </row>
    <row r="221" spans="1:12" x14ac:dyDescent="0.2">
      <c r="B221" s="301">
        <v>43231</v>
      </c>
      <c r="C221" s="148"/>
      <c r="D221" s="148" t="s">
        <v>229</v>
      </c>
      <c r="E221" s="215"/>
      <c r="F221" s="135"/>
      <c r="G221" s="101"/>
      <c r="H221" s="100"/>
      <c r="I221" s="129"/>
      <c r="J221" s="111">
        <v>1442840</v>
      </c>
      <c r="K221" s="231"/>
    </row>
    <row r="222" spans="1:12" x14ac:dyDescent="0.2">
      <c r="A222" s="103">
        <v>32</v>
      </c>
      <c r="B222" s="301">
        <v>43235</v>
      </c>
      <c r="C222" s="148"/>
      <c r="D222" s="148" t="s">
        <v>158</v>
      </c>
      <c r="E222" s="215"/>
      <c r="F222" s="135"/>
      <c r="G222" s="101"/>
      <c r="H222" s="100"/>
      <c r="I222" s="129"/>
      <c r="J222" s="111">
        <v>2724400</v>
      </c>
      <c r="K222" s="231"/>
    </row>
    <row r="223" spans="1:12" x14ac:dyDescent="0.2">
      <c r="A223" s="103">
        <v>33</v>
      </c>
      <c r="B223" s="301">
        <v>43235</v>
      </c>
      <c r="C223" s="148"/>
      <c r="D223" s="148" t="s">
        <v>198</v>
      </c>
      <c r="E223" s="215"/>
      <c r="F223" s="135"/>
      <c r="G223" s="101"/>
      <c r="H223" s="100"/>
      <c r="I223" s="129"/>
      <c r="J223" s="111">
        <v>845000</v>
      </c>
      <c r="K223" s="231"/>
    </row>
    <row r="224" spans="1:12" x14ac:dyDescent="0.2">
      <c r="A224" s="103">
        <v>34</v>
      </c>
      <c r="B224" s="301">
        <v>43235</v>
      </c>
      <c r="C224" s="148"/>
      <c r="D224" s="148" t="s">
        <v>196</v>
      </c>
      <c r="E224" s="215"/>
      <c r="F224" s="135"/>
      <c r="G224" s="101"/>
      <c r="H224" s="100"/>
      <c r="I224" s="129"/>
      <c r="J224" s="111">
        <v>946500</v>
      </c>
      <c r="K224" s="231"/>
    </row>
    <row r="225" spans="1:11" x14ac:dyDescent="0.2">
      <c r="A225" s="103">
        <v>35</v>
      </c>
      <c r="B225" s="301">
        <v>43235</v>
      </c>
      <c r="C225" s="148"/>
      <c r="D225" s="148" t="s">
        <v>197</v>
      </c>
      <c r="E225" s="215"/>
      <c r="F225" s="135"/>
      <c r="G225" s="101"/>
      <c r="H225" s="100"/>
      <c r="I225" s="129"/>
      <c r="J225" s="111">
        <v>946500</v>
      </c>
      <c r="K225" s="231"/>
    </row>
    <row r="226" spans="1:11" x14ac:dyDescent="0.2">
      <c r="A226" s="103">
        <v>36</v>
      </c>
      <c r="B226" s="301">
        <v>43235</v>
      </c>
      <c r="C226" s="148"/>
      <c r="D226" s="148" t="s">
        <v>199</v>
      </c>
      <c r="E226" s="215"/>
      <c r="F226" s="135"/>
      <c r="G226" s="101"/>
      <c r="H226" s="100"/>
      <c r="I226" s="129"/>
      <c r="J226" s="111">
        <v>1044500</v>
      </c>
      <c r="K226" s="231"/>
    </row>
    <row r="227" spans="1:11" x14ac:dyDescent="0.2">
      <c r="B227" s="230"/>
      <c r="C227" s="148"/>
      <c r="D227" s="148"/>
      <c r="E227" s="215"/>
      <c r="F227" s="135"/>
      <c r="G227" s="101"/>
      <c r="H227" s="100"/>
      <c r="I227" s="129"/>
      <c r="J227" s="111"/>
      <c r="K227" s="231"/>
    </row>
    <row r="228" spans="1:11" x14ac:dyDescent="0.2">
      <c r="B228" s="230"/>
      <c r="C228" s="148"/>
      <c r="D228" s="148"/>
      <c r="E228" s="215"/>
      <c r="F228" s="135"/>
      <c r="G228" s="101"/>
      <c r="H228" s="100"/>
      <c r="I228" s="129"/>
      <c r="J228" s="111"/>
      <c r="K228" s="231"/>
    </row>
    <row r="229" spans="1:11" x14ac:dyDescent="0.2">
      <c r="B229" s="230"/>
      <c r="C229" s="148"/>
      <c r="D229" s="148"/>
      <c r="E229" s="215"/>
      <c r="F229" s="135"/>
      <c r="G229" s="101"/>
      <c r="H229" s="100"/>
      <c r="I229" s="129"/>
      <c r="J229" s="111"/>
      <c r="K229" s="231"/>
    </row>
    <row r="230" spans="1:11" x14ac:dyDescent="0.2">
      <c r="B230" s="230"/>
      <c r="C230" s="148"/>
      <c r="D230" s="148"/>
      <c r="E230" s="215"/>
      <c r="F230" s="135"/>
      <c r="G230" s="101"/>
      <c r="H230" s="100"/>
      <c r="I230" s="129"/>
      <c r="J230" s="111"/>
      <c r="K230" s="231"/>
    </row>
    <row r="231" spans="1:11" x14ac:dyDescent="0.2">
      <c r="B231" s="230"/>
      <c r="C231" s="148"/>
      <c r="D231" s="148"/>
      <c r="E231" s="215"/>
      <c r="F231" s="135"/>
      <c r="G231" s="101"/>
      <c r="H231" s="100"/>
      <c r="I231" s="129"/>
      <c r="J231" s="111"/>
      <c r="K231" s="231"/>
    </row>
    <row r="232" spans="1:11" x14ac:dyDescent="0.2">
      <c r="B232" s="230"/>
      <c r="C232" s="148"/>
      <c r="D232" s="148"/>
      <c r="E232" s="215"/>
      <c r="F232" s="135"/>
      <c r="G232" s="101"/>
      <c r="H232" s="100"/>
      <c r="I232" s="129"/>
      <c r="J232" s="111"/>
      <c r="K232" s="231"/>
    </row>
    <row r="233" spans="1:11" x14ac:dyDescent="0.2">
      <c r="B233" s="230"/>
      <c r="C233" s="148"/>
      <c r="D233" s="148"/>
      <c r="E233" s="215"/>
      <c r="F233" s="135"/>
      <c r="G233" s="101"/>
      <c r="H233" s="100"/>
      <c r="I233" s="129"/>
      <c r="J233" s="111"/>
      <c r="K233" s="231"/>
    </row>
    <row r="234" spans="1:11" x14ac:dyDescent="0.2">
      <c r="B234" s="230"/>
      <c r="C234" s="148"/>
      <c r="D234" s="148"/>
      <c r="E234" s="215"/>
      <c r="F234" s="135"/>
      <c r="G234" s="101"/>
      <c r="H234" s="100"/>
      <c r="I234" s="129"/>
      <c r="J234" s="111"/>
      <c r="K234" s="231"/>
    </row>
    <row r="235" spans="1:11" x14ac:dyDescent="0.2">
      <c r="B235" s="230"/>
      <c r="C235" s="148"/>
      <c r="D235" s="148"/>
      <c r="E235" s="215"/>
      <c r="F235" s="135"/>
      <c r="G235" s="101"/>
      <c r="H235" s="100"/>
      <c r="I235" s="129"/>
      <c r="J235" s="111"/>
      <c r="K235" s="231"/>
    </row>
    <row r="236" spans="1:11" x14ac:dyDescent="0.2">
      <c r="B236" s="230"/>
      <c r="C236" s="148"/>
      <c r="D236" s="148"/>
      <c r="E236" s="215"/>
      <c r="F236" s="135"/>
      <c r="G236" s="101"/>
      <c r="H236" s="100"/>
      <c r="I236" s="129"/>
      <c r="J236" s="111"/>
      <c r="K236" s="231"/>
    </row>
    <row r="237" spans="1:11" x14ac:dyDescent="0.2">
      <c r="B237" s="230"/>
      <c r="C237" s="148"/>
      <c r="D237" s="148"/>
      <c r="E237" s="215"/>
      <c r="F237" s="135"/>
      <c r="G237" s="101"/>
      <c r="H237" s="100"/>
      <c r="I237" s="129"/>
      <c r="J237" s="111"/>
      <c r="K237" s="231"/>
    </row>
    <row r="238" spans="1:11" x14ac:dyDescent="0.2">
      <c r="B238" s="230"/>
      <c r="C238" s="148"/>
      <c r="D238" s="148"/>
      <c r="E238" s="215"/>
      <c r="F238" s="135"/>
      <c r="G238" s="101"/>
      <c r="H238" s="100"/>
      <c r="I238" s="129"/>
      <c r="J238" s="111"/>
      <c r="K238" s="231"/>
    </row>
    <row r="239" spans="1:11" x14ac:dyDescent="0.2">
      <c r="B239" s="230"/>
      <c r="C239" s="148"/>
      <c r="D239" s="148"/>
      <c r="E239" s="215"/>
      <c r="F239" s="135"/>
      <c r="G239" s="101"/>
      <c r="H239" s="100"/>
      <c r="I239" s="129"/>
      <c r="J239" s="111"/>
      <c r="K239" s="231"/>
    </row>
    <row r="240" spans="1:11" x14ac:dyDescent="0.2">
      <c r="B240" s="230"/>
      <c r="C240" s="148"/>
      <c r="D240" s="148"/>
      <c r="E240" s="215"/>
      <c r="F240" s="135"/>
      <c r="G240" s="101"/>
      <c r="H240" s="100"/>
      <c r="I240" s="129"/>
      <c r="J240" s="111"/>
      <c r="K240" s="231"/>
    </row>
    <row r="241" spans="2:11" x14ac:dyDescent="0.2">
      <c r="B241" s="230"/>
      <c r="C241" s="148"/>
      <c r="D241" s="148"/>
      <c r="E241" s="215"/>
      <c r="F241" s="135"/>
      <c r="G241" s="101"/>
      <c r="H241" s="100"/>
      <c r="I241" s="129"/>
      <c r="J241" s="111"/>
      <c r="K241" s="231"/>
    </row>
    <row r="242" spans="2:11" x14ac:dyDescent="0.2">
      <c r="B242" s="230"/>
      <c r="C242" s="148"/>
      <c r="D242" s="148"/>
      <c r="E242" s="215"/>
      <c r="F242" s="135"/>
      <c r="G242" s="101"/>
      <c r="H242" s="100"/>
      <c r="I242" s="129"/>
      <c r="J242" s="111"/>
      <c r="K242" s="231"/>
    </row>
    <row r="243" spans="2:11" ht="15.75" x14ac:dyDescent="0.25">
      <c r="B243" s="238"/>
      <c r="C243" s="239" t="s">
        <v>62</v>
      </c>
      <c r="D243" s="239" t="s">
        <v>63</v>
      </c>
      <c r="E243" s="241">
        <v>1200000</v>
      </c>
      <c r="F243" s="242">
        <f>SUM(F244:F262)</f>
        <v>0</v>
      </c>
      <c r="G243" s="242">
        <f t="shared" ref="G243:J243" si="22">SUM(G244:G262)</f>
        <v>0</v>
      </c>
      <c r="H243" s="242">
        <f t="shared" si="22"/>
        <v>0</v>
      </c>
      <c r="I243" s="243">
        <f t="shared" si="21"/>
        <v>1200000</v>
      </c>
      <c r="J243" s="242">
        <f t="shared" si="22"/>
        <v>534100</v>
      </c>
      <c r="K243" s="245">
        <f>I243-J243</f>
        <v>665900</v>
      </c>
    </row>
    <row r="244" spans="2:11" x14ac:dyDescent="0.2">
      <c r="B244" s="301">
        <v>43131</v>
      </c>
      <c r="C244" s="148"/>
      <c r="D244" s="148" t="s">
        <v>186</v>
      </c>
      <c r="E244" s="215"/>
      <c r="F244" s="216"/>
      <c r="G244" s="99"/>
      <c r="H244" s="100"/>
      <c r="I244" s="129"/>
      <c r="J244" s="111">
        <v>200000</v>
      </c>
      <c r="K244" s="231"/>
    </row>
    <row r="245" spans="2:11" x14ac:dyDescent="0.2">
      <c r="B245" s="301">
        <v>43194</v>
      </c>
      <c r="C245" s="148"/>
      <c r="D245" s="148" t="s">
        <v>214</v>
      </c>
      <c r="E245" s="215"/>
      <c r="F245" s="216"/>
      <c r="G245" s="99"/>
      <c r="H245" s="100"/>
      <c r="I245" s="129"/>
      <c r="J245" s="103">
        <v>167000</v>
      </c>
      <c r="K245" s="231"/>
    </row>
    <row r="246" spans="2:11" x14ac:dyDescent="0.2">
      <c r="B246" s="301">
        <v>43224</v>
      </c>
      <c r="C246" s="148"/>
      <c r="D246" s="148" t="s">
        <v>214</v>
      </c>
      <c r="E246" s="215"/>
      <c r="F246" s="216"/>
      <c r="G246" s="99"/>
      <c r="H246" s="100"/>
      <c r="I246" s="129"/>
      <c r="J246" s="111">
        <v>167100</v>
      </c>
      <c r="K246" s="231"/>
    </row>
    <row r="247" spans="2:11" x14ac:dyDescent="0.2">
      <c r="B247" s="230"/>
      <c r="C247" s="148"/>
      <c r="D247" s="148"/>
      <c r="E247" s="215"/>
      <c r="F247" s="216"/>
      <c r="G247" s="99"/>
      <c r="H247" s="100"/>
      <c r="I247" s="129"/>
      <c r="J247" s="111"/>
      <c r="K247" s="231"/>
    </row>
    <row r="248" spans="2:11" x14ac:dyDescent="0.2">
      <c r="B248" s="230"/>
      <c r="C248" s="148"/>
      <c r="D248" s="148"/>
      <c r="E248" s="215"/>
      <c r="F248" s="216"/>
      <c r="G248" s="99"/>
      <c r="H248" s="100"/>
      <c r="I248" s="129"/>
      <c r="J248" s="111"/>
      <c r="K248" s="231"/>
    </row>
    <row r="249" spans="2:11" x14ac:dyDescent="0.2">
      <c r="B249" s="230"/>
      <c r="C249" s="148"/>
      <c r="D249" s="148"/>
      <c r="E249" s="215"/>
      <c r="F249" s="216"/>
      <c r="G249" s="99"/>
      <c r="H249" s="100"/>
      <c r="I249" s="129"/>
      <c r="J249" s="111"/>
      <c r="K249" s="231"/>
    </row>
    <row r="250" spans="2:11" x14ac:dyDescent="0.2">
      <c r="B250" s="230"/>
      <c r="C250" s="148"/>
      <c r="D250" s="148"/>
      <c r="E250" s="215"/>
      <c r="F250" s="216"/>
      <c r="G250" s="99"/>
      <c r="H250" s="100"/>
      <c r="I250" s="129"/>
      <c r="J250" s="111"/>
      <c r="K250" s="231"/>
    </row>
    <row r="251" spans="2:11" x14ac:dyDescent="0.2">
      <c r="B251" s="230"/>
      <c r="C251" s="148"/>
      <c r="D251" s="148"/>
      <c r="E251" s="215"/>
      <c r="F251" s="216"/>
      <c r="G251" s="99"/>
      <c r="H251" s="100"/>
      <c r="I251" s="129"/>
      <c r="J251" s="111"/>
      <c r="K251" s="231"/>
    </row>
    <row r="252" spans="2:11" x14ac:dyDescent="0.2">
      <c r="B252" s="230"/>
      <c r="C252" s="148"/>
      <c r="D252" s="148"/>
      <c r="E252" s="215"/>
      <c r="F252" s="216"/>
      <c r="G252" s="99"/>
      <c r="H252" s="100"/>
      <c r="I252" s="129"/>
      <c r="J252" s="111"/>
      <c r="K252" s="231"/>
    </row>
    <row r="253" spans="2:11" x14ac:dyDescent="0.2">
      <c r="B253" s="230"/>
      <c r="C253" s="148"/>
      <c r="D253" s="148"/>
      <c r="E253" s="215"/>
      <c r="F253" s="216"/>
      <c r="G253" s="99"/>
      <c r="H253" s="100"/>
      <c r="I253" s="129"/>
      <c r="J253" s="111"/>
      <c r="K253" s="231"/>
    </row>
    <row r="254" spans="2:11" x14ac:dyDescent="0.2">
      <c r="B254" s="230"/>
      <c r="C254" s="148"/>
      <c r="D254" s="148"/>
      <c r="E254" s="215"/>
      <c r="F254" s="216"/>
      <c r="G254" s="99"/>
      <c r="H254" s="100"/>
      <c r="I254" s="129"/>
      <c r="J254" s="111"/>
      <c r="K254" s="231"/>
    </row>
    <row r="255" spans="2:11" x14ac:dyDescent="0.2">
      <c r="B255" s="230"/>
      <c r="C255" s="148"/>
      <c r="D255" s="148"/>
      <c r="E255" s="215"/>
      <c r="F255" s="216"/>
      <c r="G255" s="99"/>
      <c r="H255" s="100"/>
      <c r="I255" s="129"/>
      <c r="J255" s="111"/>
      <c r="K255" s="231"/>
    </row>
    <row r="256" spans="2:11" x14ac:dyDescent="0.2">
      <c r="B256" s="230"/>
      <c r="C256" s="148"/>
      <c r="D256" s="148"/>
      <c r="E256" s="215"/>
      <c r="F256" s="216"/>
      <c r="G256" s="99"/>
      <c r="H256" s="100"/>
      <c r="I256" s="129"/>
      <c r="J256" s="111"/>
      <c r="K256" s="231"/>
    </row>
    <row r="257" spans="2:11" x14ac:dyDescent="0.2">
      <c r="B257" s="230"/>
      <c r="C257" s="148"/>
      <c r="D257" s="148"/>
      <c r="E257" s="215"/>
      <c r="F257" s="216"/>
      <c r="G257" s="99"/>
      <c r="H257" s="100"/>
      <c r="I257" s="129"/>
      <c r="J257" s="111"/>
      <c r="K257" s="231"/>
    </row>
    <row r="258" spans="2:11" x14ac:dyDescent="0.2">
      <c r="B258" s="230"/>
      <c r="C258" s="148"/>
      <c r="D258" s="148"/>
      <c r="E258" s="215"/>
      <c r="F258" s="216"/>
      <c r="G258" s="99"/>
      <c r="H258" s="100"/>
      <c r="I258" s="129"/>
      <c r="J258" s="111"/>
      <c r="K258" s="231"/>
    </row>
    <row r="259" spans="2:11" x14ac:dyDescent="0.2">
      <c r="B259" s="230"/>
      <c r="C259" s="148"/>
      <c r="D259" s="148"/>
      <c r="E259" s="215"/>
      <c r="F259" s="216"/>
      <c r="G259" s="99"/>
      <c r="H259" s="100"/>
      <c r="I259" s="129"/>
      <c r="J259" s="111"/>
      <c r="K259" s="231"/>
    </row>
    <row r="260" spans="2:11" x14ac:dyDescent="0.2">
      <c r="B260" s="230"/>
      <c r="C260" s="148"/>
      <c r="D260" s="148"/>
      <c r="E260" s="215"/>
      <c r="F260" s="216"/>
      <c r="G260" s="99"/>
      <c r="H260" s="100"/>
      <c r="I260" s="129"/>
      <c r="J260" s="111"/>
      <c r="K260" s="231"/>
    </row>
    <row r="261" spans="2:11" x14ac:dyDescent="0.2">
      <c r="B261" s="230"/>
      <c r="C261" s="148"/>
      <c r="D261" s="148"/>
      <c r="E261" s="215"/>
      <c r="F261" s="216"/>
      <c r="G261" s="99"/>
      <c r="H261" s="100"/>
      <c r="I261" s="129"/>
      <c r="J261" s="111"/>
      <c r="K261" s="231"/>
    </row>
    <row r="262" spans="2:11" x14ac:dyDescent="0.2">
      <c r="B262" s="230"/>
      <c r="C262" s="148"/>
      <c r="D262" s="148"/>
      <c r="E262" s="215"/>
      <c r="F262" s="216"/>
      <c r="G262" s="99"/>
      <c r="H262" s="100"/>
      <c r="I262" s="129"/>
      <c r="J262" s="111"/>
      <c r="K262" s="231"/>
    </row>
    <row r="263" spans="2:11" ht="15.75" x14ac:dyDescent="0.25">
      <c r="B263" s="238"/>
      <c r="C263" s="239" t="s">
        <v>64</v>
      </c>
      <c r="D263" s="239" t="s">
        <v>65</v>
      </c>
      <c r="E263" s="241">
        <f>900000*12</f>
        <v>10800000</v>
      </c>
      <c r="F263" s="242">
        <f>SUM(F264:F277)</f>
        <v>0</v>
      </c>
      <c r="G263" s="242">
        <f>SUM(G264:G277)</f>
        <v>0</v>
      </c>
      <c r="H263" s="242">
        <f>SUM(H264:H277)</f>
        <v>0</v>
      </c>
      <c r="I263" s="243">
        <f t="shared" si="21"/>
        <v>10800000</v>
      </c>
      <c r="J263" s="242">
        <f>SUM(J264:J277)</f>
        <v>3142400</v>
      </c>
      <c r="K263" s="245">
        <f>I263-J263</f>
        <v>7657600</v>
      </c>
    </row>
    <row r="264" spans="2:11" x14ac:dyDescent="0.2">
      <c r="B264" s="230"/>
      <c r="C264" s="148"/>
      <c r="D264" s="148" t="s">
        <v>125</v>
      </c>
      <c r="E264" s="215"/>
      <c r="F264" s="216"/>
      <c r="G264" s="99"/>
      <c r="H264" s="100"/>
      <c r="I264" s="129"/>
      <c r="J264" s="111">
        <v>720300</v>
      </c>
      <c r="K264" s="231"/>
    </row>
    <row r="265" spans="2:11" x14ac:dyDescent="0.2">
      <c r="B265" s="301">
        <v>43147</v>
      </c>
      <c r="C265" s="148"/>
      <c r="D265" s="148" t="s">
        <v>126</v>
      </c>
      <c r="E265" s="215"/>
      <c r="F265" s="216"/>
      <c r="G265" s="99"/>
      <c r="H265" s="100"/>
      <c r="I265" s="129"/>
      <c r="J265" s="111">
        <v>693300</v>
      </c>
      <c r="K265" s="231"/>
    </row>
    <row r="266" spans="2:11" x14ac:dyDescent="0.2">
      <c r="B266" s="301">
        <v>43179</v>
      </c>
      <c r="C266" s="148"/>
      <c r="D266" s="148" t="s">
        <v>127</v>
      </c>
      <c r="E266" s="215"/>
      <c r="F266" s="216"/>
      <c r="G266" s="99"/>
      <c r="H266" s="100"/>
      <c r="I266" s="129"/>
      <c r="J266" s="111">
        <v>920100</v>
      </c>
      <c r="K266" s="231"/>
    </row>
    <row r="267" spans="2:11" x14ac:dyDescent="0.2">
      <c r="B267" s="301">
        <v>43206</v>
      </c>
      <c r="C267" s="148"/>
      <c r="D267" s="148" t="s">
        <v>128</v>
      </c>
      <c r="E267" s="215"/>
      <c r="F267" s="216"/>
      <c r="G267" s="99"/>
      <c r="H267" s="100"/>
      <c r="I267" s="129"/>
      <c r="J267" s="111">
        <v>808700</v>
      </c>
      <c r="K267" s="231"/>
    </row>
    <row r="268" spans="2:11" x14ac:dyDescent="0.2">
      <c r="B268" s="230"/>
      <c r="C268" s="148"/>
      <c r="D268" s="148" t="s">
        <v>129</v>
      </c>
      <c r="E268" s="215"/>
      <c r="F268" s="216"/>
      <c r="G268" s="99"/>
      <c r="H268" s="100"/>
      <c r="I268" s="129"/>
      <c r="J268" s="111"/>
      <c r="K268" s="231"/>
    </row>
    <row r="269" spans="2:11" x14ac:dyDescent="0.2">
      <c r="B269" s="230"/>
      <c r="C269" s="148"/>
      <c r="D269" s="148" t="s">
        <v>130</v>
      </c>
      <c r="E269" s="215"/>
      <c r="F269" s="216"/>
      <c r="G269" s="99"/>
      <c r="H269" s="100"/>
      <c r="I269" s="129"/>
      <c r="J269" s="111"/>
      <c r="K269" s="231"/>
    </row>
    <row r="270" spans="2:11" x14ac:dyDescent="0.2">
      <c r="B270" s="230"/>
      <c r="C270" s="148"/>
      <c r="D270" s="148" t="s">
        <v>131</v>
      </c>
      <c r="E270" s="215"/>
      <c r="F270" s="216"/>
      <c r="G270" s="99"/>
      <c r="H270" s="100"/>
      <c r="I270" s="129"/>
      <c r="J270" s="111"/>
      <c r="K270" s="231"/>
    </row>
    <row r="271" spans="2:11" x14ac:dyDescent="0.2">
      <c r="B271" s="230"/>
      <c r="C271" s="148"/>
      <c r="D271" s="148" t="s">
        <v>132</v>
      </c>
      <c r="E271" s="215"/>
      <c r="F271" s="216"/>
      <c r="G271" s="99"/>
      <c r="H271" s="100"/>
      <c r="I271" s="129"/>
      <c r="J271" s="111"/>
      <c r="K271" s="231"/>
    </row>
    <row r="272" spans="2:11" x14ac:dyDescent="0.2">
      <c r="B272" s="230"/>
      <c r="C272" s="148"/>
      <c r="D272" s="148" t="s">
        <v>133</v>
      </c>
      <c r="E272" s="215"/>
      <c r="F272" s="216"/>
      <c r="G272" s="99"/>
      <c r="H272" s="100"/>
      <c r="I272" s="129"/>
      <c r="J272" s="111"/>
      <c r="K272" s="231"/>
    </row>
    <row r="273" spans="2:12" x14ac:dyDescent="0.2">
      <c r="B273" s="230"/>
      <c r="C273" s="148"/>
      <c r="D273" s="148" t="s">
        <v>134</v>
      </c>
      <c r="E273" s="215"/>
      <c r="F273" s="216"/>
      <c r="G273" s="99"/>
      <c r="H273" s="100"/>
      <c r="I273" s="129"/>
      <c r="J273" s="111"/>
      <c r="K273" s="231"/>
    </row>
    <row r="274" spans="2:12" x14ac:dyDescent="0.2">
      <c r="B274" s="230"/>
      <c r="C274" s="148"/>
      <c r="D274" s="148" t="s">
        <v>135</v>
      </c>
      <c r="E274" s="215"/>
      <c r="F274" s="216"/>
      <c r="G274" s="99"/>
      <c r="H274" s="100"/>
      <c r="I274" s="129"/>
      <c r="J274" s="111"/>
      <c r="K274" s="231"/>
    </row>
    <row r="275" spans="2:12" x14ac:dyDescent="0.2">
      <c r="B275" s="230"/>
      <c r="C275" s="148"/>
      <c r="D275" s="148" t="s">
        <v>136</v>
      </c>
      <c r="E275" s="215"/>
      <c r="F275" s="216"/>
      <c r="G275" s="99"/>
      <c r="H275" s="100"/>
      <c r="I275" s="129"/>
      <c r="J275" s="111"/>
      <c r="K275" s="231"/>
    </row>
    <row r="276" spans="2:12" x14ac:dyDescent="0.2">
      <c r="B276" s="230"/>
      <c r="C276" s="148"/>
      <c r="D276" s="148"/>
      <c r="E276" s="215"/>
      <c r="F276" s="216"/>
      <c r="G276" s="99"/>
      <c r="H276" s="100"/>
      <c r="I276" s="129"/>
      <c r="J276" s="111"/>
      <c r="K276" s="231"/>
    </row>
    <row r="277" spans="2:12" x14ac:dyDescent="0.2">
      <c r="B277" s="230"/>
      <c r="C277" s="148"/>
      <c r="D277" s="148"/>
      <c r="E277" s="215"/>
      <c r="F277" s="216"/>
      <c r="G277" s="99"/>
      <c r="H277" s="100"/>
      <c r="I277" s="129"/>
      <c r="J277" s="111"/>
      <c r="K277" s="231"/>
    </row>
    <row r="278" spans="2:12" ht="15" x14ac:dyDescent="0.25">
      <c r="B278" s="279"/>
      <c r="C278" s="280" t="s">
        <v>66</v>
      </c>
      <c r="D278" s="280" t="s">
        <v>67</v>
      </c>
      <c r="E278" s="281">
        <f>550000*12</f>
        <v>6600000</v>
      </c>
      <c r="F278" s="282">
        <f>SUM(F279:F303)</f>
        <v>0</v>
      </c>
      <c r="G278" s="282">
        <f t="shared" ref="G278:H278" si="23">SUM(G279:G303)</f>
        <v>0</v>
      </c>
      <c r="H278" s="282">
        <f t="shared" si="23"/>
        <v>0</v>
      </c>
      <c r="I278" s="283">
        <f t="shared" si="21"/>
        <v>6600000</v>
      </c>
      <c r="J278" s="282">
        <f>SUM(J279:J303)</f>
        <v>1992848</v>
      </c>
      <c r="K278" s="288">
        <f>I278-J278</f>
        <v>4607152</v>
      </c>
    </row>
    <row r="279" spans="2:12" x14ac:dyDescent="0.2">
      <c r="B279" s="301">
        <v>43115</v>
      </c>
      <c r="C279" s="148"/>
      <c r="D279" s="148" t="s">
        <v>173</v>
      </c>
      <c r="E279" s="215"/>
      <c r="F279" s="216"/>
      <c r="G279" s="101"/>
      <c r="H279" s="100"/>
      <c r="I279" s="129"/>
      <c r="J279" s="111">
        <v>188767</v>
      </c>
      <c r="K279" s="231"/>
    </row>
    <row r="280" spans="2:12" x14ac:dyDescent="0.2">
      <c r="B280" s="301">
        <v>42751</v>
      </c>
      <c r="C280" s="148"/>
      <c r="D280" s="148" t="s">
        <v>176</v>
      </c>
      <c r="E280" s="215"/>
      <c r="F280" s="216"/>
      <c r="G280" s="101"/>
      <c r="H280" s="100"/>
      <c r="I280" s="129"/>
      <c r="J280" s="111">
        <v>96900</v>
      </c>
      <c r="K280" s="231"/>
    </row>
    <row r="281" spans="2:12" x14ac:dyDescent="0.2">
      <c r="B281" s="306" t="s">
        <v>187</v>
      </c>
      <c r="C281" s="148"/>
      <c r="D281" s="148" t="s">
        <v>193</v>
      </c>
      <c r="E281" s="215"/>
      <c r="F281" s="216"/>
      <c r="G281" s="101"/>
      <c r="H281" s="100"/>
      <c r="I281" s="129"/>
      <c r="J281" s="111">
        <v>250000</v>
      </c>
      <c r="K281" s="231"/>
    </row>
    <row r="282" spans="2:12" x14ac:dyDescent="0.2">
      <c r="B282" s="301">
        <v>43146</v>
      </c>
      <c r="C282" s="148"/>
      <c r="D282" s="148" t="s">
        <v>173</v>
      </c>
      <c r="E282" s="215"/>
      <c r="F282" s="216"/>
      <c r="G282" s="101"/>
      <c r="H282" s="100"/>
      <c r="I282" s="129"/>
      <c r="J282" s="111">
        <v>182983</v>
      </c>
      <c r="K282" s="231"/>
    </row>
    <row r="283" spans="2:12" x14ac:dyDescent="0.2">
      <c r="B283" s="301">
        <v>43147</v>
      </c>
      <c r="C283" s="148"/>
      <c r="D283" s="148" t="s">
        <v>176</v>
      </c>
      <c r="E283" s="215"/>
      <c r="F283" s="216"/>
      <c r="G283" s="101"/>
      <c r="H283" s="100"/>
      <c r="I283" s="129"/>
      <c r="J283" s="111">
        <v>96900</v>
      </c>
      <c r="K283" s="231"/>
    </row>
    <row r="284" spans="2:12" x14ac:dyDescent="0.2">
      <c r="B284" s="301">
        <v>43150</v>
      </c>
      <c r="C284" s="148"/>
      <c r="D284" s="148" t="s">
        <v>193</v>
      </c>
      <c r="E284" s="215"/>
      <c r="F284" s="216"/>
      <c r="G284" s="101"/>
      <c r="H284" s="100"/>
      <c r="I284" s="129"/>
      <c r="J284" s="111">
        <v>250000</v>
      </c>
      <c r="K284" s="231"/>
    </row>
    <row r="285" spans="2:12" x14ac:dyDescent="0.2">
      <c r="B285" s="301">
        <v>43166</v>
      </c>
      <c r="C285" s="148"/>
      <c r="D285" s="148" t="s">
        <v>176</v>
      </c>
      <c r="E285" s="215"/>
      <c r="F285" s="216"/>
      <c r="G285" s="101"/>
      <c r="H285" s="100"/>
      <c r="I285" s="129"/>
      <c r="J285" s="111">
        <v>96900</v>
      </c>
      <c r="K285" s="231"/>
    </row>
    <row r="286" spans="2:12" x14ac:dyDescent="0.2">
      <c r="B286" s="301">
        <v>43175</v>
      </c>
      <c r="C286" s="148"/>
      <c r="D286" s="148" t="s">
        <v>193</v>
      </c>
      <c r="E286" s="215"/>
      <c r="F286" s="216"/>
      <c r="G286" s="101"/>
      <c r="H286" s="100"/>
      <c r="I286" s="129"/>
      <c r="J286" s="111">
        <v>250000</v>
      </c>
      <c r="K286" s="231"/>
    </row>
    <row r="287" spans="2:12" x14ac:dyDescent="0.2">
      <c r="B287" s="301">
        <v>43193</v>
      </c>
      <c r="C287" s="148"/>
      <c r="D287" s="148" t="s">
        <v>176</v>
      </c>
      <c r="E287" s="215"/>
      <c r="F287" s="216"/>
      <c r="G287" s="101"/>
      <c r="H287" s="100"/>
      <c r="I287" s="129"/>
      <c r="J287" s="111">
        <v>96900</v>
      </c>
      <c r="K287" s="231"/>
      <c r="L287" s="111"/>
    </row>
    <row r="288" spans="2:12" x14ac:dyDescent="0.2">
      <c r="B288" s="301">
        <v>43194</v>
      </c>
      <c r="C288" s="148"/>
      <c r="D288" s="148" t="s">
        <v>173</v>
      </c>
      <c r="E288" s="215"/>
      <c r="F288" s="216"/>
      <c r="G288" s="101"/>
      <c r="H288" s="100"/>
      <c r="I288" s="129"/>
      <c r="J288" s="111">
        <v>233498</v>
      </c>
      <c r="K288" s="231"/>
      <c r="L288" s="111"/>
    </row>
    <row r="289" spans="2:11" x14ac:dyDescent="0.2">
      <c r="B289" s="301">
        <v>43220</v>
      </c>
      <c r="C289" s="148"/>
      <c r="D289" s="148" t="s">
        <v>193</v>
      </c>
      <c r="E289" s="215"/>
      <c r="F289" s="216"/>
      <c r="G289" s="101"/>
      <c r="H289" s="100"/>
      <c r="I289" s="129"/>
      <c r="J289" s="111">
        <v>250000</v>
      </c>
      <c r="K289" s="231"/>
    </row>
    <row r="290" spans="2:11" x14ac:dyDescent="0.2">
      <c r="B290" s="230"/>
      <c r="C290" s="148"/>
      <c r="D290" s="148"/>
      <c r="E290" s="215"/>
      <c r="F290" s="216"/>
      <c r="G290" s="101"/>
      <c r="H290" s="100"/>
      <c r="I290" s="129"/>
      <c r="J290" s="111"/>
      <c r="K290" s="231"/>
    </row>
    <row r="291" spans="2:11" x14ac:dyDescent="0.2">
      <c r="B291" s="230"/>
      <c r="C291" s="148"/>
      <c r="D291" s="148"/>
      <c r="E291" s="215"/>
      <c r="F291" s="216"/>
      <c r="G291" s="101"/>
      <c r="H291" s="100"/>
      <c r="I291" s="129"/>
      <c r="J291" s="111"/>
      <c r="K291" s="231"/>
    </row>
    <row r="292" spans="2:11" x14ac:dyDescent="0.2">
      <c r="B292" s="230"/>
      <c r="C292" s="148"/>
      <c r="D292" s="148"/>
      <c r="E292" s="215"/>
      <c r="F292" s="216"/>
      <c r="G292" s="101"/>
      <c r="H292" s="100"/>
      <c r="I292" s="129"/>
      <c r="J292" s="111"/>
      <c r="K292" s="231"/>
    </row>
    <row r="293" spans="2:11" x14ac:dyDescent="0.2">
      <c r="B293" s="230"/>
      <c r="C293" s="148"/>
      <c r="D293" s="148"/>
      <c r="E293" s="215"/>
      <c r="F293" s="216"/>
      <c r="G293" s="101"/>
      <c r="H293" s="100"/>
      <c r="I293" s="129"/>
      <c r="J293" s="111"/>
      <c r="K293" s="231"/>
    </row>
    <row r="294" spans="2:11" x14ac:dyDescent="0.2">
      <c r="B294" s="230"/>
      <c r="C294" s="148"/>
      <c r="D294" s="148"/>
      <c r="E294" s="215"/>
      <c r="F294" s="216"/>
      <c r="G294" s="101"/>
      <c r="H294" s="100"/>
      <c r="I294" s="129"/>
      <c r="J294" s="111"/>
      <c r="K294" s="231"/>
    </row>
    <row r="295" spans="2:11" x14ac:dyDescent="0.2">
      <c r="B295" s="230"/>
      <c r="C295" s="148"/>
      <c r="D295" s="148"/>
      <c r="E295" s="215"/>
      <c r="F295" s="216"/>
      <c r="G295" s="101"/>
      <c r="H295" s="100"/>
      <c r="I295" s="129"/>
      <c r="J295" s="111"/>
      <c r="K295" s="231"/>
    </row>
    <row r="296" spans="2:11" x14ac:dyDescent="0.2">
      <c r="B296" s="230"/>
      <c r="C296" s="148"/>
      <c r="D296" s="148"/>
      <c r="E296" s="215"/>
      <c r="F296" s="216"/>
      <c r="G296" s="101"/>
      <c r="H296" s="100"/>
      <c r="I296" s="129"/>
      <c r="J296" s="111"/>
      <c r="K296" s="231"/>
    </row>
    <row r="297" spans="2:11" x14ac:dyDescent="0.2">
      <c r="B297" s="230"/>
      <c r="C297" s="148"/>
      <c r="D297" s="148"/>
      <c r="E297" s="215"/>
      <c r="F297" s="216"/>
      <c r="G297" s="101"/>
      <c r="H297" s="100"/>
      <c r="I297" s="129"/>
      <c r="J297" s="111"/>
      <c r="K297" s="231"/>
    </row>
    <row r="298" spans="2:11" x14ac:dyDescent="0.2">
      <c r="B298" s="230"/>
      <c r="C298" s="148"/>
      <c r="D298" s="148"/>
      <c r="E298" s="215"/>
      <c r="F298" s="216"/>
      <c r="G298" s="101"/>
      <c r="H298" s="100"/>
      <c r="I298" s="129"/>
      <c r="J298" s="111"/>
      <c r="K298" s="231"/>
    </row>
    <row r="299" spans="2:11" x14ac:dyDescent="0.2">
      <c r="B299" s="230"/>
      <c r="C299" s="148"/>
      <c r="D299" s="148"/>
      <c r="E299" s="215"/>
      <c r="F299" s="216"/>
      <c r="G299" s="101"/>
      <c r="H299" s="100"/>
      <c r="I299" s="129"/>
      <c r="J299" s="111"/>
      <c r="K299" s="231"/>
    </row>
    <row r="300" spans="2:11" x14ac:dyDescent="0.2">
      <c r="B300" s="230"/>
      <c r="C300" s="148"/>
      <c r="D300" s="148"/>
      <c r="E300" s="215"/>
      <c r="F300" s="216"/>
      <c r="G300" s="101"/>
      <c r="H300" s="100"/>
      <c r="I300" s="129"/>
      <c r="J300" s="111"/>
      <c r="K300" s="231"/>
    </row>
    <row r="301" spans="2:11" x14ac:dyDescent="0.2">
      <c r="B301" s="230"/>
      <c r="C301" s="148"/>
      <c r="D301" s="148"/>
      <c r="E301" s="215"/>
      <c r="F301" s="216"/>
      <c r="G301" s="101"/>
      <c r="H301" s="100"/>
      <c r="I301" s="129"/>
      <c r="J301" s="111"/>
      <c r="K301" s="231"/>
    </row>
    <row r="302" spans="2:11" x14ac:dyDescent="0.2">
      <c r="B302" s="230"/>
      <c r="C302" s="148"/>
      <c r="D302" s="148"/>
      <c r="E302" s="215"/>
      <c r="F302" s="216"/>
      <c r="G302" s="101"/>
      <c r="H302" s="100"/>
      <c r="I302" s="129"/>
      <c r="J302" s="111"/>
      <c r="K302" s="231"/>
    </row>
    <row r="303" spans="2:11" x14ac:dyDescent="0.2">
      <c r="B303" s="230"/>
      <c r="C303" s="148"/>
      <c r="D303" s="148"/>
      <c r="E303" s="215"/>
      <c r="F303" s="216"/>
      <c r="G303" s="101"/>
      <c r="H303" s="100"/>
      <c r="I303" s="129"/>
      <c r="J303" s="111"/>
      <c r="K303" s="231"/>
    </row>
    <row r="304" spans="2:11" ht="15.75" x14ac:dyDescent="0.25">
      <c r="B304" s="238"/>
      <c r="C304" s="239" t="s">
        <v>68</v>
      </c>
      <c r="D304" s="239" t="s">
        <v>69</v>
      </c>
      <c r="E304" s="241">
        <f>160000*12</f>
        <v>1920000</v>
      </c>
      <c r="F304" s="242">
        <f>SUM(F305:F326)</f>
        <v>0</v>
      </c>
      <c r="G304" s="242">
        <f t="shared" ref="G304:H304" si="24">SUM(G305:G326)</f>
        <v>0</v>
      </c>
      <c r="H304" s="242">
        <f t="shared" si="24"/>
        <v>0</v>
      </c>
      <c r="I304" s="243">
        <f t="shared" si="21"/>
        <v>1920000</v>
      </c>
      <c r="J304" s="244">
        <f>SUM(J305:J325)</f>
        <v>430220</v>
      </c>
      <c r="K304" s="245">
        <f>I304-J304</f>
        <v>1489780</v>
      </c>
    </row>
    <row r="305" spans="2:11" x14ac:dyDescent="0.2">
      <c r="B305" s="301">
        <v>43115</v>
      </c>
      <c r="C305" s="148"/>
      <c r="D305" s="148" t="s">
        <v>174</v>
      </c>
      <c r="E305" s="215"/>
      <c r="F305" s="216"/>
      <c r="G305" s="99"/>
      <c r="H305" s="100"/>
      <c r="I305" s="129"/>
      <c r="J305" s="111">
        <v>41900</v>
      </c>
      <c r="K305" s="231"/>
    </row>
    <row r="306" spans="2:11" x14ac:dyDescent="0.2">
      <c r="B306" s="301">
        <v>43115</v>
      </c>
      <c r="C306" s="148"/>
      <c r="D306" s="148" t="s">
        <v>175</v>
      </c>
      <c r="E306" s="215"/>
      <c r="F306" s="216"/>
      <c r="G306" s="99"/>
      <c r="H306" s="100"/>
      <c r="I306" s="129"/>
      <c r="J306" s="111">
        <v>61150</v>
      </c>
      <c r="K306" s="231"/>
    </row>
    <row r="307" spans="2:11" x14ac:dyDescent="0.2">
      <c r="B307" s="301">
        <v>43150</v>
      </c>
      <c r="C307" s="148"/>
      <c r="D307" s="148" t="s">
        <v>174</v>
      </c>
      <c r="E307" s="215"/>
      <c r="F307" s="216"/>
      <c r="G307" s="99"/>
      <c r="H307" s="100"/>
      <c r="I307" s="129"/>
      <c r="J307" s="111">
        <v>69700</v>
      </c>
      <c r="K307" s="231"/>
    </row>
    <row r="308" spans="2:11" x14ac:dyDescent="0.2">
      <c r="B308" s="301">
        <v>43150</v>
      </c>
      <c r="C308" s="148"/>
      <c r="D308" s="148" t="s">
        <v>175</v>
      </c>
      <c r="E308" s="215"/>
      <c r="F308" s="216"/>
      <c r="G308" s="99"/>
      <c r="H308" s="100"/>
      <c r="I308" s="129"/>
      <c r="J308" s="111">
        <v>62590</v>
      </c>
      <c r="K308" s="231"/>
    </row>
    <row r="309" spans="2:11" x14ac:dyDescent="0.2">
      <c r="B309" s="301">
        <v>43175</v>
      </c>
      <c r="C309" s="148"/>
      <c r="D309" s="148" t="s">
        <v>175</v>
      </c>
      <c r="E309" s="215"/>
      <c r="F309" s="216"/>
      <c r="G309" s="99"/>
      <c r="H309" s="100"/>
      <c r="I309" s="129"/>
      <c r="J309" s="111">
        <v>62590</v>
      </c>
      <c r="K309" s="231"/>
    </row>
    <row r="310" spans="2:11" x14ac:dyDescent="0.2">
      <c r="B310" s="301">
        <v>43175</v>
      </c>
      <c r="C310" s="148"/>
      <c r="D310" s="148" t="s">
        <v>174</v>
      </c>
      <c r="E310" s="215"/>
      <c r="F310" s="216"/>
      <c r="G310" s="99"/>
      <c r="H310" s="100"/>
      <c r="I310" s="129"/>
      <c r="J310" s="111">
        <v>69700</v>
      </c>
      <c r="K310" s="231"/>
    </row>
    <row r="311" spans="2:11" x14ac:dyDescent="0.2">
      <c r="B311" s="301">
        <v>43201</v>
      </c>
      <c r="C311" s="148"/>
      <c r="D311" s="148" t="s">
        <v>175</v>
      </c>
      <c r="E311" s="215"/>
      <c r="F311" s="216"/>
      <c r="G311" s="99"/>
      <c r="H311" s="100"/>
      <c r="I311" s="129"/>
      <c r="J311" s="111">
        <v>62590</v>
      </c>
      <c r="K311" s="231"/>
    </row>
    <row r="312" spans="2:11" x14ac:dyDescent="0.2">
      <c r="B312" s="301">
        <v>43201</v>
      </c>
      <c r="C312" s="148"/>
      <c r="D312" s="148" t="s">
        <v>174</v>
      </c>
      <c r="E312" s="215"/>
      <c r="F312" s="216"/>
      <c r="G312" s="99"/>
      <c r="H312" s="100"/>
      <c r="I312" s="129"/>
      <c r="J312" s="111"/>
      <c r="K312" s="231"/>
    </row>
    <row r="313" spans="2:11" x14ac:dyDescent="0.2">
      <c r="B313" s="230"/>
      <c r="C313" s="148"/>
      <c r="D313" s="148"/>
      <c r="E313" s="215"/>
      <c r="F313" s="216"/>
      <c r="G313" s="99"/>
      <c r="H313" s="100"/>
      <c r="I313" s="129"/>
      <c r="J313" s="111"/>
      <c r="K313" s="231"/>
    </row>
    <row r="314" spans="2:11" x14ac:dyDescent="0.2">
      <c r="B314" s="230"/>
      <c r="C314" s="148"/>
      <c r="D314" s="148"/>
      <c r="E314" s="215"/>
      <c r="F314" s="216"/>
      <c r="G314" s="99"/>
      <c r="H314" s="100"/>
      <c r="I314" s="129"/>
      <c r="J314" s="111"/>
      <c r="K314" s="231"/>
    </row>
    <row r="315" spans="2:11" x14ac:dyDescent="0.2">
      <c r="B315" s="230"/>
      <c r="C315" s="148"/>
      <c r="D315" s="148"/>
      <c r="E315" s="215"/>
      <c r="F315" s="216"/>
      <c r="G315" s="99"/>
      <c r="H315" s="100"/>
      <c r="I315" s="129"/>
      <c r="J315" s="111"/>
      <c r="K315" s="231"/>
    </row>
    <row r="316" spans="2:11" x14ac:dyDescent="0.2">
      <c r="B316" s="230"/>
      <c r="C316" s="148"/>
      <c r="D316" s="148"/>
      <c r="E316" s="215"/>
      <c r="F316" s="216"/>
      <c r="G316" s="99"/>
      <c r="H316" s="100"/>
      <c r="I316" s="129"/>
      <c r="J316" s="111"/>
      <c r="K316" s="231"/>
    </row>
    <row r="317" spans="2:11" x14ac:dyDescent="0.2">
      <c r="B317" s="230"/>
      <c r="C317" s="148"/>
      <c r="D317" s="148"/>
      <c r="E317" s="215"/>
      <c r="F317" s="216"/>
      <c r="G317" s="99"/>
      <c r="H317" s="100"/>
      <c r="I317" s="129"/>
      <c r="J317" s="111"/>
      <c r="K317" s="231"/>
    </row>
    <row r="318" spans="2:11" x14ac:dyDescent="0.2">
      <c r="B318" s="230"/>
      <c r="C318" s="148"/>
      <c r="D318" s="148"/>
      <c r="E318" s="215"/>
      <c r="F318" s="216"/>
      <c r="G318" s="99"/>
      <c r="H318" s="100"/>
      <c r="I318" s="129"/>
      <c r="J318" s="111"/>
      <c r="K318" s="231"/>
    </row>
    <row r="319" spans="2:11" x14ac:dyDescent="0.2">
      <c r="B319" s="230"/>
      <c r="C319" s="148"/>
      <c r="D319" s="148"/>
      <c r="E319" s="215"/>
      <c r="F319" s="216"/>
      <c r="G319" s="99"/>
      <c r="H319" s="100"/>
      <c r="I319" s="129"/>
      <c r="J319" s="111"/>
      <c r="K319" s="231"/>
    </row>
    <row r="320" spans="2:11" x14ac:dyDescent="0.2">
      <c r="B320" s="230"/>
      <c r="C320" s="148"/>
      <c r="D320" s="148"/>
      <c r="E320" s="215"/>
      <c r="F320" s="216"/>
      <c r="G320" s="99"/>
      <c r="H320" s="100"/>
      <c r="I320" s="129"/>
      <c r="J320" s="111"/>
      <c r="K320" s="231"/>
    </row>
    <row r="321" spans="2:11" x14ac:dyDescent="0.2">
      <c r="B321" s="230"/>
      <c r="C321" s="148"/>
      <c r="D321" s="148"/>
      <c r="E321" s="215"/>
      <c r="F321" s="216"/>
      <c r="G321" s="99"/>
      <c r="H321" s="100"/>
      <c r="I321" s="129"/>
      <c r="J321" s="111"/>
      <c r="K321" s="231"/>
    </row>
    <row r="322" spans="2:11" x14ac:dyDescent="0.2">
      <c r="B322" s="230"/>
      <c r="C322" s="148"/>
      <c r="D322" s="148"/>
      <c r="E322" s="215"/>
      <c r="F322" s="216"/>
      <c r="G322" s="99"/>
      <c r="H322" s="100"/>
      <c r="I322" s="129"/>
      <c r="J322" s="111"/>
      <c r="K322" s="231"/>
    </row>
    <row r="323" spans="2:11" x14ac:dyDescent="0.2">
      <c r="B323" s="230"/>
      <c r="C323" s="148"/>
      <c r="D323" s="148"/>
      <c r="E323" s="215"/>
      <c r="F323" s="216"/>
      <c r="G323" s="99"/>
      <c r="H323" s="100"/>
      <c r="I323" s="129"/>
      <c r="J323" s="111"/>
      <c r="K323" s="231"/>
    </row>
    <row r="324" spans="2:11" x14ac:dyDescent="0.2">
      <c r="B324" s="230"/>
      <c r="C324" s="148"/>
      <c r="D324" s="148"/>
      <c r="E324" s="215"/>
      <c r="F324" s="216"/>
      <c r="G324" s="99"/>
      <c r="H324" s="100"/>
      <c r="I324" s="129"/>
      <c r="J324" s="111"/>
      <c r="K324" s="231"/>
    </row>
    <row r="325" spans="2:11" x14ac:dyDescent="0.2">
      <c r="B325" s="230"/>
      <c r="C325" s="148"/>
      <c r="D325" s="148"/>
      <c r="E325" s="215"/>
      <c r="F325" s="216"/>
      <c r="G325" s="99"/>
      <c r="H325" s="100"/>
      <c r="I325" s="129"/>
      <c r="J325" s="111"/>
      <c r="K325" s="231"/>
    </row>
    <row r="326" spans="2:11" ht="15.75" x14ac:dyDescent="0.25">
      <c r="B326" s="238"/>
      <c r="C326" s="239" t="s">
        <v>70</v>
      </c>
      <c r="D326" s="239" t="s">
        <v>71</v>
      </c>
      <c r="E326" s="241">
        <v>1500000</v>
      </c>
      <c r="F326" s="242">
        <f>SUM(F327:F336)</f>
        <v>0</v>
      </c>
      <c r="G326" s="242">
        <f t="shared" ref="G326:J326" si="25">SUM(G327:G336)</f>
        <v>0</v>
      </c>
      <c r="H326" s="242">
        <f t="shared" si="25"/>
        <v>0</v>
      </c>
      <c r="I326" s="243">
        <f t="shared" si="21"/>
        <v>1500000</v>
      </c>
      <c r="J326" s="242">
        <f t="shared" si="25"/>
        <v>0</v>
      </c>
      <c r="K326" s="245">
        <f>I326-J326</f>
        <v>1500000</v>
      </c>
    </row>
    <row r="327" spans="2:11" x14ac:dyDescent="0.2">
      <c r="B327" s="230"/>
      <c r="C327" s="148"/>
      <c r="D327" s="149"/>
      <c r="E327" s="215"/>
      <c r="F327" s="216"/>
      <c r="G327" s="99"/>
      <c r="H327" s="100"/>
      <c r="I327" s="129"/>
      <c r="J327" s="111"/>
      <c r="K327" s="231"/>
    </row>
    <row r="328" spans="2:11" x14ac:dyDescent="0.2">
      <c r="B328" s="230"/>
      <c r="C328" s="148"/>
      <c r="D328" s="149"/>
      <c r="E328" s="215"/>
      <c r="F328" s="216"/>
      <c r="G328" s="99"/>
      <c r="H328" s="100"/>
      <c r="I328" s="129"/>
      <c r="J328" s="111"/>
      <c r="K328" s="231"/>
    </row>
    <row r="329" spans="2:11" x14ac:dyDescent="0.2">
      <c r="B329" s="230"/>
      <c r="C329" s="148"/>
      <c r="D329" s="149"/>
      <c r="E329" s="215"/>
      <c r="F329" s="216"/>
      <c r="G329" s="99"/>
      <c r="H329" s="100"/>
      <c r="I329" s="129"/>
      <c r="J329" s="111"/>
      <c r="K329" s="231"/>
    </row>
    <row r="330" spans="2:11" x14ac:dyDescent="0.2">
      <c r="B330" s="230"/>
      <c r="C330" s="148"/>
      <c r="D330" s="149"/>
      <c r="E330" s="215"/>
      <c r="F330" s="216"/>
      <c r="G330" s="99"/>
      <c r="H330" s="100"/>
      <c r="I330" s="129"/>
      <c r="J330" s="111"/>
      <c r="K330" s="231"/>
    </row>
    <row r="331" spans="2:11" x14ac:dyDescent="0.2">
      <c r="B331" s="230"/>
      <c r="C331" s="148"/>
      <c r="D331" s="149"/>
      <c r="E331" s="215"/>
      <c r="F331" s="216"/>
      <c r="G331" s="99"/>
      <c r="H331" s="100"/>
      <c r="I331" s="129"/>
      <c r="J331" s="111"/>
      <c r="K331" s="231"/>
    </row>
    <row r="332" spans="2:11" x14ac:dyDescent="0.2">
      <c r="B332" s="230"/>
      <c r="C332" s="148"/>
      <c r="D332" s="149"/>
      <c r="E332" s="215"/>
      <c r="F332" s="216"/>
      <c r="G332" s="99"/>
      <c r="H332" s="100"/>
      <c r="I332" s="129"/>
      <c r="J332" s="111"/>
      <c r="K332" s="231"/>
    </row>
    <row r="333" spans="2:11" x14ac:dyDescent="0.2">
      <c r="B333" s="230"/>
      <c r="C333" s="148"/>
      <c r="D333" s="149"/>
      <c r="E333" s="215"/>
      <c r="F333" s="216"/>
      <c r="G333" s="99"/>
      <c r="H333" s="100"/>
      <c r="I333" s="129"/>
      <c r="J333" s="111"/>
      <c r="K333" s="231"/>
    </row>
    <row r="334" spans="2:11" x14ac:dyDescent="0.2">
      <c r="B334" s="230"/>
      <c r="C334" s="148"/>
      <c r="D334" s="149"/>
      <c r="E334" s="215"/>
      <c r="F334" s="216"/>
      <c r="G334" s="99"/>
      <c r="H334" s="100"/>
      <c r="I334" s="129"/>
      <c r="J334" s="111"/>
      <c r="K334" s="231"/>
    </row>
    <row r="335" spans="2:11" x14ac:dyDescent="0.2">
      <c r="B335" s="230"/>
      <c r="C335" s="148"/>
      <c r="D335" s="149"/>
      <c r="E335" s="215"/>
      <c r="F335" s="216"/>
      <c r="G335" s="99"/>
      <c r="H335" s="100"/>
      <c r="I335" s="129"/>
      <c r="J335" s="111"/>
      <c r="K335" s="231"/>
    </row>
    <row r="336" spans="2:11" x14ac:dyDescent="0.2">
      <c r="B336" s="230"/>
      <c r="C336" s="148"/>
      <c r="D336" s="149"/>
      <c r="E336" s="215"/>
      <c r="F336" s="216"/>
      <c r="G336" s="99"/>
      <c r="H336" s="100"/>
      <c r="I336" s="129"/>
      <c r="J336" s="111"/>
      <c r="K336" s="231"/>
    </row>
    <row r="337" spans="2:13" ht="15.75" x14ac:dyDescent="0.25">
      <c r="B337" s="238"/>
      <c r="C337" s="239" t="s">
        <v>72</v>
      </c>
      <c r="D337" s="239" t="s">
        <v>73</v>
      </c>
      <c r="E337" s="241">
        <v>0</v>
      </c>
      <c r="F337" s="242"/>
      <c r="G337" s="243"/>
      <c r="H337" s="243"/>
      <c r="I337" s="243">
        <f t="shared" si="21"/>
        <v>0</v>
      </c>
      <c r="J337" s="244"/>
      <c r="K337" s="247"/>
    </row>
    <row r="338" spans="2:13" x14ac:dyDescent="0.2">
      <c r="B338" s="230"/>
      <c r="C338" s="148"/>
      <c r="D338" s="148"/>
      <c r="E338" s="215"/>
      <c r="F338" s="216"/>
      <c r="G338" s="99"/>
      <c r="H338" s="100"/>
      <c r="I338" s="129"/>
      <c r="J338" s="111"/>
      <c r="K338" s="231"/>
    </row>
    <row r="339" spans="2:13" x14ac:dyDescent="0.2">
      <c r="B339" s="230"/>
      <c r="C339" s="148"/>
      <c r="D339" s="148"/>
      <c r="E339" s="215"/>
      <c r="F339" s="216"/>
      <c r="G339" s="99"/>
      <c r="H339" s="100"/>
      <c r="I339" s="129"/>
      <c r="J339" s="111"/>
      <c r="K339" s="231"/>
    </row>
    <row r="340" spans="2:13" x14ac:dyDescent="0.2">
      <c r="B340" s="230"/>
      <c r="C340" s="148"/>
      <c r="D340" s="148"/>
      <c r="E340" s="215"/>
      <c r="F340" s="216"/>
      <c r="G340" s="99"/>
      <c r="H340" s="100"/>
      <c r="I340" s="129"/>
      <c r="J340" s="111"/>
      <c r="K340" s="231"/>
    </row>
    <row r="341" spans="2:13" ht="15.75" x14ac:dyDescent="0.25">
      <c r="B341" s="238"/>
      <c r="C341" s="239" t="s">
        <v>74</v>
      </c>
      <c r="D341" s="239" t="s">
        <v>75</v>
      </c>
      <c r="E341" s="241">
        <v>8000000</v>
      </c>
      <c r="F341" s="242">
        <f>SUM(F342:F349)</f>
        <v>0</v>
      </c>
      <c r="G341" s="242">
        <f t="shared" ref="G341:J341" si="26">SUM(G342:G349)</f>
        <v>631976</v>
      </c>
      <c r="H341" s="242">
        <f t="shared" si="26"/>
        <v>0</v>
      </c>
      <c r="I341" s="243">
        <f t="shared" si="21"/>
        <v>8631976</v>
      </c>
      <c r="J341" s="242">
        <f t="shared" si="26"/>
        <v>7786252</v>
      </c>
      <c r="K341" s="242">
        <f>I341-J341</f>
        <v>845724</v>
      </c>
    </row>
    <row r="342" spans="2:13" x14ac:dyDescent="0.2">
      <c r="B342" s="301">
        <v>43160</v>
      </c>
      <c r="C342" s="148"/>
      <c r="D342" s="148" t="s">
        <v>209</v>
      </c>
      <c r="E342" s="215"/>
      <c r="F342" s="216"/>
      <c r="G342" s="101"/>
      <c r="H342" s="100"/>
      <c r="I342" s="129"/>
      <c r="J342" s="111">
        <v>701976</v>
      </c>
      <c r="K342" s="231"/>
    </row>
    <row r="343" spans="2:13" x14ac:dyDescent="0.2">
      <c r="B343" s="301">
        <v>43171</v>
      </c>
      <c r="C343" s="148"/>
      <c r="D343" s="148" t="s">
        <v>218</v>
      </c>
      <c r="E343" s="215"/>
      <c r="F343" s="216"/>
      <c r="G343" s="101">
        <v>631976</v>
      </c>
      <c r="H343" s="100"/>
      <c r="I343" s="129"/>
      <c r="J343" s="111"/>
      <c r="K343" s="231"/>
      <c r="L343" s="348">
        <v>7930000</v>
      </c>
      <c r="M343" s="334">
        <f>L343-K341</f>
        <v>7084276</v>
      </c>
    </row>
    <row r="344" spans="2:13" x14ac:dyDescent="0.2">
      <c r="B344" s="301">
        <v>43180</v>
      </c>
      <c r="C344" s="148"/>
      <c r="D344" s="148" t="s">
        <v>219</v>
      </c>
      <c r="E344" s="215"/>
      <c r="F344" s="216"/>
      <c r="G344" s="101"/>
      <c r="H344" s="100"/>
      <c r="I344" s="129"/>
      <c r="J344" s="111">
        <v>7084276</v>
      </c>
      <c r="K344" s="231"/>
    </row>
    <row r="345" spans="2:13" x14ac:dyDescent="0.2">
      <c r="B345" s="230"/>
      <c r="C345" s="148"/>
      <c r="D345" s="148"/>
      <c r="E345" s="215"/>
      <c r="F345" s="216"/>
      <c r="G345" s="101"/>
      <c r="H345" s="100"/>
      <c r="I345" s="129"/>
      <c r="J345" s="111"/>
      <c r="K345" s="231"/>
    </row>
    <row r="346" spans="2:13" x14ac:dyDescent="0.2">
      <c r="B346" s="230"/>
      <c r="C346" s="148"/>
      <c r="D346" s="148"/>
      <c r="E346" s="215"/>
      <c r="F346" s="216"/>
      <c r="G346" s="101"/>
      <c r="H346" s="100"/>
      <c r="I346" s="129"/>
      <c r="J346" s="111"/>
      <c r="K346" s="231"/>
    </row>
    <row r="347" spans="2:13" x14ac:dyDescent="0.2">
      <c r="B347" s="230"/>
      <c r="C347" s="148"/>
      <c r="D347" s="148"/>
      <c r="E347" s="215"/>
      <c r="F347" s="216"/>
      <c r="G347" s="101"/>
      <c r="H347" s="100"/>
      <c r="I347" s="129"/>
      <c r="J347" s="111"/>
      <c r="K347" s="231"/>
    </row>
    <row r="348" spans="2:13" x14ac:dyDescent="0.2">
      <c r="B348" s="230"/>
      <c r="C348" s="148"/>
      <c r="D348" s="148"/>
      <c r="E348" s="215"/>
      <c r="F348" s="216"/>
      <c r="G348" s="101"/>
      <c r="H348" s="100"/>
      <c r="I348" s="129"/>
      <c r="J348" s="111"/>
      <c r="K348" s="231"/>
    </row>
    <row r="349" spans="2:13" x14ac:dyDescent="0.2">
      <c r="B349" s="230"/>
      <c r="C349" s="148"/>
      <c r="D349" s="148"/>
      <c r="E349" s="215"/>
      <c r="F349" s="216"/>
      <c r="G349" s="101"/>
      <c r="H349" s="100"/>
      <c r="I349" s="129"/>
      <c r="J349" s="111"/>
      <c r="K349" s="231"/>
    </row>
    <row r="350" spans="2:13" ht="15.75" x14ac:dyDescent="0.25">
      <c r="B350" s="238"/>
      <c r="C350" s="239" t="s">
        <v>76</v>
      </c>
      <c r="D350" s="239" t="s">
        <v>77</v>
      </c>
      <c r="E350" s="241">
        <v>5000000</v>
      </c>
      <c r="F350" s="242">
        <f>SUM(F351:F359)</f>
        <v>20000000</v>
      </c>
      <c r="G350" s="242">
        <f t="shared" ref="G350:J350" si="27">SUM(G351:G359)</f>
        <v>0</v>
      </c>
      <c r="H350" s="242">
        <f t="shared" si="27"/>
        <v>0</v>
      </c>
      <c r="I350" s="243">
        <f t="shared" si="21"/>
        <v>25000000</v>
      </c>
      <c r="J350" s="242">
        <f t="shared" si="27"/>
        <v>0</v>
      </c>
      <c r="K350" s="245">
        <f>I350-J350</f>
        <v>25000000</v>
      </c>
    </row>
    <row r="351" spans="2:13" x14ac:dyDescent="0.2">
      <c r="B351" s="230"/>
      <c r="C351" s="148"/>
      <c r="D351" s="214" t="s">
        <v>184</v>
      </c>
      <c r="E351" s="215"/>
      <c r="F351" s="216">
        <v>20000000</v>
      </c>
      <c r="G351" s="99"/>
      <c r="H351" s="100"/>
      <c r="I351" s="129"/>
      <c r="J351" s="111"/>
      <c r="K351" s="231"/>
    </row>
    <row r="352" spans="2:13" x14ac:dyDescent="0.2">
      <c r="B352" s="230"/>
      <c r="C352" s="148"/>
      <c r="D352" s="149"/>
      <c r="E352" s="215"/>
      <c r="F352" s="216"/>
      <c r="G352" s="99"/>
      <c r="H352" s="100"/>
      <c r="I352" s="129"/>
      <c r="J352" s="111"/>
      <c r="K352" s="231"/>
    </row>
    <row r="353" spans="2:11" x14ac:dyDescent="0.2">
      <c r="B353" s="230"/>
      <c r="C353" s="148"/>
      <c r="D353" s="149"/>
      <c r="E353" s="215"/>
      <c r="F353" s="216"/>
      <c r="G353" s="99"/>
      <c r="H353" s="100"/>
      <c r="I353" s="129"/>
      <c r="J353" s="111"/>
      <c r="K353" s="231"/>
    </row>
    <row r="354" spans="2:11" x14ac:dyDescent="0.2">
      <c r="B354" s="230"/>
      <c r="C354" s="148"/>
      <c r="D354" s="149"/>
      <c r="E354" s="215"/>
      <c r="F354" s="216"/>
      <c r="G354" s="99"/>
      <c r="H354" s="100"/>
      <c r="I354" s="129"/>
      <c r="J354" s="111"/>
      <c r="K354" s="231"/>
    </row>
    <row r="355" spans="2:11" x14ac:dyDescent="0.2">
      <c r="B355" s="230"/>
      <c r="C355" s="148"/>
      <c r="D355" s="149"/>
      <c r="E355" s="215"/>
      <c r="F355" s="216"/>
      <c r="G355" s="99"/>
      <c r="H355" s="100"/>
      <c r="I355" s="129"/>
      <c r="J355" s="111"/>
      <c r="K355" s="231"/>
    </row>
    <row r="356" spans="2:11" x14ac:dyDescent="0.2">
      <c r="B356" s="230"/>
      <c r="C356" s="148"/>
      <c r="D356" s="149"/>
      <c r="E356" s="215"/>
      <c r="F356" s="216"/>
      <c r="G356" s="99"/>
      <c r="H356" s="100"/>
      <c r="I356" s="129"/>
      <c r="J356" s="111"/>
      <c r="K356" s="231"/>
    </row>
    <row r="357" spans="2:11" x14ac:dyDescent="0.2">
      <c r="B357" s="230"/>
      <c r="C357" s="148"/>
      <c r="D357" s="149"/>
      <c r="E357" s="215"/>
      <c r="F357" s="216"/>
      <c r="G357" s="99"/>
      <c r="H357" s="100"/>
      <c r="I357" s="129"/>
      <c r="J357" s="111"/>
      <c r="K357" s="231"/>
    </row>
    <row r="358" spans="2:11" x14ac:dyDescent="0.2">
      <c r="B358" s="230"/>
      <c r="C358" s="148"/>
      <c r="D358" s="149"/>
      <c r="E358" s="215"/>
      <c r="F358" s="216"/>
      <c r="G358" s="99"/>
      <c r="H358" s="100"/>
      <c r="I358" s="129"/>
      <c r="J358" s="111"/>
      <c r="K358" s="231"/>
    </row>
    <row r="359" spans="2:11" x14ac:dyDescent="0.2">
      <c r="B359" s="230"/>
      <c r="C359" s="148"/>
      <c r="D359" s="149"/>
      <c r="E359" s="215"/>
      <c r="F359" s="216"/>
      <c r="G359" s="99"/>
      <c r="H359" s="100"/>
      <c r="I359" s="129"/>
      <c r="J359" s="111"/>
      <c r="K359" s="231"/>
    </row>
    <row r="360" spans="2:11" ht="15.75" x14ac:dyDescent="0.25">
      <c r="B360" s="238"/>
      <c r="C360" s="239" t="s">
        <v>78</v>
      </c>
      <c r="D360" s="239" t="s">
        <v>79</v>
      </c>
      <c r="E360" s="241">
        <v>0</v>
      </c>
      <c r="F360" s="242">
        <f>SUM(F361:F366)</f>
        <v>3000000</v>
      </c>
      <c r="G360" s="242">
        <f t="shared" ref="G360:J360" si="28">SUM(G361:G366)</f>
        <v>0</v>
      </c>
      <c r="H360" s="242">
        <f t="shared" si="28"/>
        <v>0</v>
      </c>
      <c r="I360" s="243">
        <f t="shared" si="21"/>
        <v>3000000</v>
      </c>
      <c r="J360" s="242">
        <f t="shared" si="28"/>
        <v>500000</v>
      </c>
      <c r="K360" s="245">
        <f>I360-J360</f>
        <v>2500000</v>
      </c>
    </row>
    <row r="361" spans="2:11" x14ac:dyDescent="0.2">
      <c r="B361" s="230"/>
      <c r="C361" s="148"/>
      <c r="D361" s="214" t="s">
        <v>184</v>
      </c>
      <c r="E361" s="215"/>
      <c r="F361" s="216">
        <v>3000000</v>
      </c>
      <c r="G361" s="99"/>
      <c r="H361" s="100"/>
      <c r="I361" s="129"/>
      <c r="J361" s="111"/>
      <c r="K361" s="231"/>
    </row>
    <row r="362" spans="2:11" ht="14.25" x14ac:dyDescent="0.2">
      <c r="B362" s="301">
        <v>43235</v>
      </c>
      <c r="C362" s="148"/>
      <c r="D362" t="s">
        <v>230</v>
      </c>
      <c r="E362" s="215"/>
      <c r="F362" s="216"/>
      <c r="G362" s="99"/>
      <c r="H362" s="100"/>
      <c r="I362" s="129"/>
      <c r="J362" s="111">
        <v>500000</v>
      </c>
      <c r="K362" s="231"/>
    </row>
    <row r="363" spans="2:11" x14ac:dyDescent="0.2">
      <c r="B363" s="230"/>
      <c r="C363" s="148"/>
      <c r="D363" s="148"/>
      <c r="E363" s="215"/>
      <c r="F363" s="216"/>
      <c r="G363" s="99"/>
      <c r="H363" s="100"/>
      <c r="I363" s="129"/>
      <c r="J363" s="111"/>
      <c r="K363" s="231"/>
    </row>
    <row r="364" spans="2:11" x14ac:dyDescent="0.2">
      <c r="B364" s="230"/>
      <c r="C364" s="148"/>
      <c r="D364" s="148"/>
      <c r="E364" s="215"/>
      <c r="F364" s="216"/>
      <c r="G364" s="99"/>
      <c r="H364" s="100"/>
      <c r="I364" s="129"/>
      <c r="J364" s="111"/>
      <c r="K364" s="231"/>
    </row>
    <row r="365" spans="2:11" x14ac:dyDescent="0.2">
      <c r="B365" s="230"/>
      <c r="C365" s="148"/>
      <c r="D365" s="148"/>
      <c r="E365" s="215"/>
      <c r="F365" s="216"/>
      <c r="G365" s="99"/>
      <c r="H365" s="100"/>
      <c r="I365" s="129"/>
      <c r="J365" s="111"/>
      <c r="K365" s="231"/>
    </row>
    <row r="366" spans="2:11" x14ac:dyDescent="0.2">
      <c r="B366" s="230"/>
      <c r="C366" s="148"/>
      <c r="D366" s="148"/>
      <c r="E366" s="215"/>
      <c r="F366" s="216"/>
      <c r="G366" s="99"/>
      <c r="H366" s="100"/>
      <c r="I366" s="129"/>
      <c r="J366" s="111"/>
      <c r="K366" s="231"/>
    </row>
    <row r="367" spans="2:11" ht="15.75" x14ac:dyDescent="0.25">
      <c r="B367" s="238"/>
      <c r="C367" s="239" t="s">
        <v>80</v>
      </c>
      <c r="D367" s="239" t="s">
        <v>81</v>
      </c>
      <c r="E367" s="241">
        <v>0</v>
      </c>
      <c r="F367" s="242">
        <f>SUM(F368:F371)</f>
        <v>15000000</v>
      </c>
      <c r="G367" s="242">
        <f t="shared" ref="G367:J367" si="29">SUM(G368:G371)</f>
        <v>0</v>
      </c>
      <c r="H367" s="242">
        <f t="shared" si="29"/>
        <v>0</v>
      </c>
      <c r="I367" s="243">
        <f t="shared" si="21"/>
        <v>15000000</v>
      </c>
      <c r="J367" s="242">
        <f t="shared" si="29"/>
        <v>0</v>
      </c>
      <c r="K367" s="245">
        <f>I367-J367</f>
        <v>15000000</v>
      </c>
    </row>
    <row r="368" spans="2:11" x14ac:dyDescent="0.2">
      <c r="B368" s="230"/>
      <c r="C368" s="148"/>
      <c r="D368" s="214" t="s">
        <v>184</v>
      </c>
      <c r="E368" s="215"/>
      <c r="F368" s="216">
        <v>15000000</v>
      </c>
      <c r="G368" s="99"/>
      <c r="H368" s="100"/>
      <c r="I368" s="129"/>
      <c r="J368" s="111"/>
      <c r="K368" s="231"/>
    </row>
    <row r="369" spans="2:11" x14ac:dyDescent="0.2">
      <c r="B369" s="230"/>
      <c r="C369" s="148"/>
      <c r="D369" s="148"/>
      <c r="E369" s="215"/>
      <c r="F369" s="216"/>
      <c r="G369" s="99"/>
      <c r="H369" s="100"/>
      <c r="I369" s="129"/>
      <c r="J369" s="111"/>
      <c r="K369" s="231"/>
    </row>
    <row r="370" spans="2:11" x14ac:dyDescent="0.2">
      <c r="B370" s="230"/>
      <c r="C370" s="148"/>
      <c r="D370" s="148"/>
      <c r="E370" s="215"/>
      <c r="F370" s="216"/>
      <c r="G370" s="99"/>
      <c r="H370" s="100"/>
      <c r="I370" s="129"/>
      <c r="J370" s="111"/>
      <c r="K370" s="231"/>
    </row>
    <row r="371" spans="2:11" x14ac:dyDescent="0.2">
      <c r="B371" s="230"/>
      <c r="C371" s="148"/>
      <c r="D371" s="148"/>
      <c r="E371" s="215"/>
      <c r="F371" s="216"/>
      <c r="G371" s="99"/>
      <c r="H371" s="100"/>
      <c r="I371" s="129"/>
      <c r="J371" s="111"/>
      <c r="K371" s="231"/>
    </row>
    <row r="372" spans="2:11" ht="15.75" x14ac:dyDescent="0.25">
      <c r="B372" s="238"/>
      <c r="C372" s="239">
        <v>2020120213</v>
      </c>
      <c r="D372" s="239" t="s">
        <v>83</v>
      </c>
      <c r="E372" s="241">
        <v>0</v>
      </c>
      <c r="F372" s="242">
        <f>SUM(F373:F376)</f>
        <v>3000000</v>
      </c>
      <c r="G372" s="242">
        <f t="shared" ref="G372:J372" si="30">SUM(G373:G376)</f>
        <v>0</v>
      </c>
      <c r="H372" s="242">
        <f t="shared" si="30"/>
        <v>0</v>
      </c>
      <c r="I372" s="243">
        <f t="shared" si="21"/>
        <v>3000000</v>
      </c>
      <c r="J372" s="242">
        <f t="shared" si="30"/>
        <v>0</v>
      </c>
      <c r="K372" s="245">
        <f>I372-J372</f>
        <v>3000000</v>
      </c>
    </row>
    <row r="373" spans="2:11" x14ac:dyDescent="0.2">
      <c r="B373" s="301">
        <v>42759</v>
      </c>
      <c r="C373" s="148"/>
      <c r="D373" s="214" t="s">
        <v>184</v>
      </c>
      <c r="E373" s="215"/>
      <c r="F373" s="216">
        <v>3000000</v>
      </c>
      <c r="G373" s="99"/>
      <c r="H373" s="100"/>
      <c r="I373" s="129"/>
      <c r="J373" s="111"/>
      <c r="K373" s="231"/>
    </row>
    <row r="374" spans="2:11" x14ac:dyDescent="0.2">
      <c r="B374" s="230"/>
      <c r="C374" s="148"/>
      <c r="D374" s="148"/>
      <c r="E374" s="215"/>
      <c r="F374" s="216"/>
      <c r="G374" s="99"/>
      <c r="H374" s="100"/>
      <c r="I374" s="129"/>
      <c r="J374" s="111"/>
      <c r="K374" s="231"/>
    </row>
    <row r="375" spans="2:11" x14ac:dyDescent="0.2">
      <c r="B375" s="230"/>
      <c r="C375" s="148"/>
      <c r="D375" s="148"/>
      <c r="E375" s="215"/>
      <c r="F375" s="216"/>
      <c r="G375" s="99"/>
      <c r="H375" s="100"/>
      <c r="I375" s="129"/>
      <c r="J375" s="111"/>
      <c r="K375" s="231"/>
    </row>
    <row r="376" spans="2:11" x14ac:dyDescent="0.2">
      <c r="B376" s="230"/>
      <c r="C376" s="148"/>
      <c r="D376" s="148"/>
      <c r="E376" s="215"/>
      <c r="F376" s="216"/>
      <c r="G376" s="99"/>
      <c r="H376" s="100"/>
      <c r="I376" s="129"/>
      <c r="J376" s="111"/>
      <c r="K376" s="231"/>
    </row>
    <row r="377" spans="2:11" ht="15.75" x14ac:dyDescent="0.25">
      <c r="B377" s="238"/>
      <c r="C377" s="239" t="s">
        <v>84</v>
      </c>
      <c r="D377" s="239" t="s">
        <v>85</v>
      </c>
      <c r="E377" s="241">
        <v>0</v>
      </c>
      <c r="F377" s="242"/>
      <c r="G377" s="243"/>
      <c r="H377" s="243"/>
      <c r="I377" s="243">
        <f t="shared" si="21"/>
        <v>0</v>
      </c>
      <c r="J377" s="244"/>
      <c r="K377" s="247"/>
    </row>
    <row r="378" spans="2:11" x14ac:dyDescent="0.2">
      <c r="B378" s="230"/>
      <c r="C378" s="148"/>
      <c r="D378" s="148"/>
      <c r="E378" s="215"/>
      <c r="F378" s="216"/>
      <c r="G378" s="99"/>
      <c r="H378" s="100"/>
      <c r="I378" s="129"/>
      <c r="J378" s="111"/>
      <c r="K378" s="231"/>
    </row>
    <row r="379" spans="2:11" ht="15.75" x14ac:dyDescent="0.25">
      <c r="B379" s="238"/>
      <c r="C379" s="239">
        <v>2020120215</v>
      </c>
      <c r="D379" s="239" t="s">
        <v>118</v>
      </c>
      <c r="E379" s="241">
        <v>950000</v>
      </c>
      <c r="F379" s="242">
        <f>SUM(F380:F384)</f>
        <v>0</v>
      </c>
      <c r="G379" s="242">
        <f>SUM(G380:G381)</f>
        <v>0</v>
      </c>
      <c r="H379" s="242">
        <f>SUM(H380:H384)</f>
        <v>0</v>
      </c>
      <c r="I379" s="243">
        <f t="shared" si="21"/>
        <v>950000</v>
      </c>
      <c r="J379" s="242">
        <f>SUM(J380:J384)</f>
        <v>0</v>
      </c>
      <c r="K379" s="245">
        <f>I379-J379</f>
        <v>950000</v>
      </c>
    </row>
    <row r="380" spans="2:11" x14ac:dyDescent="0.2">
      <c r="B380" s="230"/>
      <c r="C380" s="148"/>
      <c r="D380" s="148"/>
      <c r="E380" s="215"/>
      <c r="F380" s="216"/>
      <c r="G380" s="101"/>
      <c r="H380" s="100"/>
      <c r="I380" s="129"/>
      <c r="J380" s="111"/>
      <c r="K380" s="231"/>
    </row>
    <row r="381" spans="2:11" x14ac:dyDescent="0.2">
      <c r="B381" s="230"/>
      <c r="C381" s="148"/>
      <c r="D381" s="148"/>
      <c r="E381" s="215"/>
      <c r="F381" s="216"/>
      <c r="G381" s="101"/>
      <c r="H381" s="100"/>
      <c r="I381" s="129"/>
      <c r="J381" s="111"/>
      <c r="K381" s="231"/>
    </row>
    <row r="382" spans="2:11" ht="18" x14ac:dyDescent="0.25">
      <c r="B382" s="349"/>
      <c r="C382" s="350">
        <v>20201203</v>
      </c>
      <c r="D382" s="350" t="s">
        <v>192</v>
      </c>
      <c r="E382" s="351">
        <v>0</v>
      </c>
      <c r="F382" s="254">
        <f>SUM(F384:F402)</f>
        <v>0</v>
      </c>
      <c r="G382" s="254">
        <f>G383</f>
        <v>1000000</v>
      </c>
      <c r="H382" s="254">
        <f t="shared" ref="H382:I382" si="31">H383</f>
        <v>0</v>
      </c>
      <c r="I382" s="254">
        <f t="shared" si="31"/>
        <v>1000000</v>
      </c>
      <c r="J382" s="254">
        <f>J383</f>
        <v>0</v>
      </c>
      <c r="K382" s="352">
        <f>I382-J382</f>
        <v>1000000</v>
      </c>
    </row>
    <row r="383" spans="2:11" ht="18" x14ac:dyDescent="0.25">
      <c r="B383" s="238"/>
      <c r="C383" s="238">
        <v>20201203</v>
      </c>
      <c r="D383" s="238"/>
      <c r="E383" s="353">
        <f>SUM(E384:E398)</f>
        <v>0</v>
      </c>
      <c r="F383" s="353">
        <f>SUM(F384:F398)</f>
        <v>0</v>
      </c>
      <c r="G383" s="353">
        <f>SUM(G384:G398)</f>
        <v>1000000</v>
      </c>
      <c r="H383" s="353">
        <f>SUM(H384:H398)</f>
        <v>0</v>
      </c>
      <c r="I383" s="243">
        <f t="shared" si="21"/>
        <v>1000000</v>
      </c>
      <c r="J383" s="353">
        <f>SUM(J384:J398)</f>
        <v>0</v>
      </c>
      <c r="K383" s="356">
        <f>I383-J383</f>
        <v>1000000</v>
      </c>
    </row>
    <row r="384" spans="2:11" x14ac:dyDescent="0.2">
      <c r="B384" s="293">
        <v>42745</v>
      </c>
      <c r="C384" s="148"/>
      <c r="D384" s="230" t="s">
        <v>222</v>
      </c>
      <c r="E384" s="215"/>
      <c r="F384" s="216"/>
      <c r="G384" s="101">
        <v>1000000</v>
      </c>
      <c r="H384" s="100"/>
      <c r="I384" s="129"/>
      <c r="J384" s="111"/>
      <c r="K384" s="231"/>
    </row>
    <row r="385" spans="2:11" x14ac:dyDescent="0.2">
      <c r="B385" s="354"/>
      <c r="C385" s="148"/>
      <c r="D385" s="355"/>
      <c r="E385" s="215"/>
      <c r="F385" s="216"/>
      <c r="G385" s="101"/>
      <c r="H385" s="100"/>
      <c r="I385" s="129"/>
      <c r="J385" s="111"/>
      <c r="K385" s="231"/>
    </row>
    <row r="386" spans="2:11" x14ac:dyDescent="0.2">
      <c r="B386" s="354"/>
      <c r="C386" s="148"/>
      <c r="D386" s="355"/>
      <c r="E386" s="215"/>
      <c r="F386" s="216"/>
      <c r="G386" s="101"/>
      <c r="H386" s="100"/>
      <c r="I386" s="129"/>
      <c r="J386" s="111"/>
      <c r="K386" s="231"/>
    </row>
    <row r="387" spans="2:11" x14ac:dyDescent="0.2">
      <c r="B387" s="354"/>
      <c r="C387" s="148"/>
      <c r="D387" s="355"/>
      <c r="E387" s="215"/>
      <c r="F387" s="216"/>
      <c r="G387" s="101"/>
      <c r="H387" s="100"/>
      <c r="I387" s="129"/>
      <c r="J387" s="111"/>
      <c r="K387" s="231"/>
    </row>
    <row r="388" spans="2:11" x14ac:dyDescent="0.2">
      <c r="B388" s="354"/>
      <c r="C388" s="148"/>
      <c r="D388" s="355"/>
      <c r="E388" s="215"/>
      <c r="F388" s="216"/>
      <c r="G388" s="101"/>
      <c r="H388" s="100"/>
      <c r="I388" s="129"/>
      <c r="J388" s="111"/>
      <c r="K388" s="231"/>
    </row>
    <row r="389" spans="2:11" x14ac:dyDescent="0.2">
      <c r="B389" s="354"/>
      <c r="C389" s="148"/>
      <c r="D389" s="355"/>
      <c r="E389" s="215"/>
      <c r="F389" s="216"/>
      <c r="G389" s="101"/>
      <c r="H389" s="100"/>
      <c r="I389" s="129"/>
      <c r="J389" s="111"/>
      <c r="K389" s="231"/>
    </row>
    <row r="390" spans="2:11" x14ac:dyDescent="0.2">
      <c r="B390" s="354"/>
      <c r="C390" s="148"/>
      <c r="D390" s="355"/>
      <c r="E390" s="215"/>
      <c r="F390" s="216"/>
      <c r="G390" s="101"/>
      <c r="H390" s="100"/>
      <c r="I390" s="129"/>
      <c r="J390" s="111"/>
      <c r="K390" s="231"/>
    </row>
    <row r="391" spans="2:11" x14ac:dyDescent="0.2">
      <c r="B391" s="354"/>
      <c r="C391" s="148"/>
      <c r="D391" s="355"/>
      <c r="E391" s="215"/>
      <c r="F391" s="216"/>
      <c r="G391" s="101"/>
      <c r="H391" s="100"/>
      <c r="I391" s="129"/>
      <c r="J391" s="111"/>
      <c r="K391" s="231"/>
    </row>
    <row r="392" spans="2:11" x14ac:dyDescent="0.2">
      <c r="B392" s="354"/>
      <c r="C392" s="148"/>
      <c r="D392" s="355"/>
      <c r="E392" s="215"/>
      <c r="F392" s="216"/>
      <c r="G392" s="101"/>
      <c r="H392" s="100"/>
      <c r="I392" s="129"/>
      <c r="J392" s="111"/>
      <c r="K392" s="231"/>
    </row>
    <row r="393" spans="2:11" x14ac:dyDescent="0.2">
      <c r="B393" s="354"/>
      <c r="C393" s="148"/>
      <c r="D393" s="355"/>
      <c r="E393" s="215"/>
      <c r="F393" s="216"/>
      <c r="G393" s="101"/>
      <c r="H393" s="100"/>
      <c r="I393" s="129"/>
      <c r="J393" s="111"/>
      <c r="K393" s="231"/>
    </row>
    <row r="394" spans="2:11" x14ac:dyDescent="0.2">
      <c r="B394" s="354"/>
      <c r="C394" s="148"/>
      <c r="D394" s="355"/>
      <c r="E394" s="215"/>
      <c r="F394" s="216"/>
      <c r="G394" s="101"/>
      <c r="H394" s="100"/>
      <c r="I394" s="129"/>
      <c r="J394" s="111"/>
      <c r="K394" s="231"/>
    </row>
    <row r="395" spans="2:11" x14ac:dyDescent="0.2">
      <c r="B395" s="354"/>
      <c r="C395" s="148"/>
      <c r="D395" s="355"/>
      <c r="E395" s="215"/>
      <c r="F395" s="216"/>
      <c r="G395" s="101"/>
      <c r="H395" s="100"/>
      <c r="I395" s="129"/>
      <c r="J395" s="111"/>
      <c r="K395" s="231"/>
    </row>
    <row r="396" spans="2:11" x14ac:dyDescent="0.2">
      <c r="B396" s="354"/>
      <c r="C396" s="148"/>
      <c r="D396" s="355"/>
      <c r="E396" s="215"/>
      <c r="F396" s="216"/>
      <c r="G396" s="101"/>
      <c r="H396" s="100"/>
      <c r="I396" s="129"/>
      <c r="J396" s="111"/>
      <c r="K396" s="231"/>
    </row>
    <row r="397" spans="2:11" x14ac:dyDescent="0.2">
      <c r="B397" s="230"/>
      <c r="C397" s="148"/>
      <c r="D397" s="148"/>
      <c r="E397" s="215"/>
      <c r="F397" s="216"/>
      <c r="G397" s="101"/>
      <c r="H397" s="100"/>
      <c r="I397" s="129"/>
      <c r="J397" s="111"/>
      <c r="K397" s="231"/>
    </row>
    <row r="398" spans="2:11" x14ac:dyDescent="0.2">
      <c r="B398" s="230"/>
      <c r="C398" s="148"/>
      <c r="D398" s="148"/>
      <c r="E398" s="215"/>
      <c r="F398" s="216"/>
      <c r="G398" s="101"/>
      <c r="H398" s="100"/>
      <c r="I398" s="129"/>
      <c r="J398" s="111"/>
      <c r="K398" s="231"/>
    </row>
    <row r="399" spans="2:11" x14ac:dyDescent="0.2">
      <c r="B399" s="230"/>
      <c r="C399" s="148"/>
      <c r="D399" s="148"/>
      <c r="E399" s="215"/>
      <c r="F399" s="216"/>
      <c r="G399" s="101"/>
      <c r="H399" s="100"/>
      <c r="I399" s="129"/>
      <c r="J399" s="111"/>
      <c r="K399" s="231"/>
    </row>
    <row r="400" spans="2:11" s="313" customFormat="1" ht="36" x14ac:dyDescent="0.25">
      <c r="B400" s="308"/>
      <c r="C400" s="309" t="s">
        <v>86</v>
      </c>
      <c r="D400" s="310" t="s">
        <v>155</v>
      </c>
      <c r="E400" s="311">
        <f>ROUND((E401+E411+E419+E431),0)</f>
        <v>83777302</v>
      </c>
      <c r="F400" s="311">
        <f>ROUND((F401+F411+F419+F431),0)</f>
        <v>0</v>
      </c>
      <c r="G400" s="311">
        <f>ROUND((G401+G411+G419+G431),0)</f>
        <v>0</v>
      </c>
      <c r="H400" s="311">
        <f t="shared" ref="H400" si="32">ROUND((H401+H411+H419+H431),0)</f>
        <v>0</v>
      </c>
      <c r="I400" s="311">
        <f t="shared" ref="I400" si="33">ROUND((I401+I411+I419+I431),0)</f>
        <v>83777302</v>
      </c>
      <c r="J400" s="311">
        <f t="shared" ref="J400" si="34">ROUND((J401+J411+J419+J431),0)</f>
        <v>19491285</v>
      </c>
      <c r="K400" s="312">
        <f>I400-J400</f>
        <v>64286017</v>
      </c>
    </row>
    <row r="401" spans="2:11" ht="15" x14ac:dyDescent="0.25">
      <c r="B401" s="279"/>
      <c r="C401" s="280" t="s">
        <v>88</v>
      </c>
      <c r="D401" s="280" t="s">
        <v>89</v>
      </c>
      <c r="E401" s="281">
        <v>13146617.570005897</v>
      </c>
      <c r="F401" s="282">
        <f>SUM(F402:F410)</f>
        <v>0</v>
      </c>
      <c r="G401" s="282">
        <f t="shared" ref="G401:H401" si="35">SUM(G402:G410)</f>
        <v>0</v>
      </c>
      <c r="H401" s="282">
        <f t="shared" si="35"/>
        <v>0</v>
      </c>
      <c r="I401" s="283">
        <f t="shared" si="21"/>
        <v>13146617.570005897</v>
      </c>
      <c r="J401" s="307">
        <f>SUM(J402:J410)</f>
        <v>0</v>
      </c>
      <c r="K401" s="288">
        <f>I401-J401</f>
        <v>13146617.570005897</v>
      </c>
    </row>
    <row r="402" spans="2:11" x14ac:dyDescent="0.2">
      <c r="B402" s="230"/>
      <c r="C402" s="148"/>
      <c r="D402" s="148"/>
      <c r="E402" s="215"/>
      <c r="F402" s="216"/>
      <c r="G402" s="99"/>
      <c r="H402" s="100"/>
      <c r="I402" s="129"/>
      <c r="J402" s="111"/>
      <c r="K402" s="231"/>
    </row>
    <row r="403" spans="2:11" x14ac:dyDescent="0.2">
      <c r="B403" s="230"/>
      <c r="C403" s="148"/>
      <c r="D403" s="148"/>
      <c r="E403" s="215"/>
      <c r="F403" s="216"/>
      <c r="G403" s="99"/>
      <c r="H403" s="100"/>
      <c r="I403" s="129"/>
      <c r="J403" s="111"/>
      <c r="K403" s="231"/>
    </row>
    <row r="404" spans="2:11" x14ac:dyDescent="0.2">
      <c r="B404" s="230"/>
      <c r="C404" s="148"/>
      <c r="D404" s="148"/>
      <c r="E404" s="215"/>
      <c r="F404" s="216"/>
      <c r="G404" s="99"/>
      <c r="H404" s="100"/>
      <c r="I404" s="129"/>
      <c r="J404" s="111"/>
      <c r="K404" s="231"/>
    </row>
    <row r="405" spans="2:11" x14ac:dyDescent="0.2">
      <c r="B405" s="230"/>
      <c r="C405" s="148"/>
      <c r="D405" s="148"/>
      <c r="E405" s="215"/>
      <c r="F405" s="216"/>
      <c r="G405" s="99"/>
      <c r="H405" s="100"/>
      <c r="I405" s="129"/>
      <c r="J405" s="111"/>
      <c r="K405" s="231"/>
    </row>
    <row r="406" spans="2:11" x14ac:dyDescent="0.2">
      <c r="B406" s="230"/>
      <c r="C406" s="148"/>
      <c r="D406" s="148"/>
      <c r="E406" s="215"/>
      <c r="F406" s="216"/>
      <c r="G406" s="99"/>
      <c r="H406" s="100"/>
      <c r="I406" s="129"/>
      <c r="J406" s="111"/>
      <c r="K406" s="231"/>
    </row>
    <row r="407" spans="2:11" x14ac:dyDescent="0.2">
      <c r="B407" s="230"/>
      <c r="C407" s="148"/>
      <c r="D407" s="148"/>
      <c r="E407" s="215"/>
      <c r="F407" s="216"/>
      <c r="G407" s="99"/>
      <c r="H407" s="100"/>
      <c r="I407" s="129"/>
      <c r="J407" s="111"/>
      <c r="K407" s="231"/>
    </row>
    <row r="408" spans="2:11" x14ac:dyDescent="0.2">
      <c r="B408" s="230"/>
      <c r="C408" s="148"/>
      <c r="D408" s="148"/>
      <c r="E408" s="215"/>
      <c r="F408" s="216"/>
      <c r="G408" s="99"/>
      <c r="H408" s="100"/>
      <c r="I408" s="129"/>
      <c r="J408" s="111"/>
      <c r="K408" s="231"/>
    </row>
    <row r="409" spans="2:11" x14ac:dyDescent="0.2">
      <c r="B409" s="230"/>
      <c r="C409" s="148"/>
      <c r="D409" s="148"/>
      <c r="E409" s="215"/>
      <c r="F409" s="216"/>
      <c r="G409" s="99"/>
      <c r="H409" s="100"/>
      <c r="I409" s="129"/>
      <c r="J409" s="111"/>
      <c r="K409" s="231"/>
    </row>
    <row r="410" spans="2:11" x14ac:dyDescent="0.2">
      <c r="B410" s="230"/>
      <c r="C410" s="148"/>
      <c r="D410" s="148"/>
      <c r="E410" s="215"/>
      <c r="F410" s="216"/>
      <c r="G410" s="99"/>
      <c r="H410" s="100"/>
      <c r="I410" s="129"/>
      <c r="J410" s="111"/>
      <c r="K410" s="231"/>
    </row>
    <row r="411" spans="2:11" ht="15" x14ac:dyDescent="0.25">
      <c r="B411" s="279"/>
      <c r="C411" s="280" t="s">
        <v>90</v>
      </c>
      <c r="D411" s="280" t="s">
        <v>91</v>
      </c>
      <c r="E411" s="281">
        <v>43392204</v>
      </c>
      <c r="F411" s="282">
        <f>SUM(F412:F418)</f>
        <v>0</v>
      </c>
      <c r="G411" s="282">
        <f t="shared" ref="G411:H411" si="36">SUM(G412:G418)</f>
        <v>0</v>
      </c>
      <c r="H411" s="282">
        <f t="shared" si="36"/>
        <v>0</v>
      </c>
      <c r="I411" s="283">
        <f t="shared" si="21"/>
        <v>43392204</v>
      </c>
      <c r="J411" s="307">
        <f>SUM(J412:J418)</f>
        <v>14254973</v>
      </c>
      <c r="K411" s="288">
        <f>I411-J411</f>
        <v>29137231</v>
      </c>
    </row>
    <row r="412" spans="2:11" x14ac:dyDescent="0.2">
      <c r="B412" s="301">
        <v>43129</v>
      </c>
      <c r="C412" s="148"/>
      <c r="D412" s="148" t="s">
        <v>183</v>
      </c>
      <c r="E412" s="215"/>
      <c r="F412" s="216"/>
      <c r="G412" s="99"/>
      <c r="H412" s="100"/>
      <c r="I412" s="129"/>
      <c r="J412" s="111">
        <f>4924400-1567700</f>
        <v>3356700</v>
      </c>
      <c r="K412" s="112"/>
    </row>
    <row r="413" spans="2:11" x14ac:dyDescent="0.2">
      <c r="B413" s="301">
        <v>43157</v>
      </c>
      <c r="C413" s="148"/>
      <c r="D413" s="148" t="s">
        <v>200</v>
      </c>
      <c r="E413" s="215"/>
      <c r="F413" s="216"/>
      <c r="G413" s="99"/>
      <c r="H413" s="100"/>
      <c r="I413" s="129"/>
      <c r="J413" s="111">
        <f>4924400-1575607</f>
        <v>3348793</v>
      </c>
      <c r="K413" s="112"/>
    </row>
    <row r="414" spans="2:11" x14ac:dyDescent="0.2">
      <c r="B414" s="301">
        <v>43181</v>
      </c>
      <c r="C414" s="148"/>
      <c r="D414" s="148" t="s">
        <v>127</v>
      </c>
      <c r="E414" s="215"/>
      <c r="F414" s="216"/>
      <c r="G414" s="99"/>
      <c r="H414" s="100"/>
      <c r="I414" s="129"/>
      <c r="J414" s="111">
        <f>5864000-1876212</f>
        <v>3987788</v>
      </c>
      <c r="K414" s="112"/>
    </row>
    <row r="415" spans="2:11" x14ac:dyDescent="0.2">
      <c r="B415" s="301">
        <v>43215</v>
      </c>
      <c r="C415" s="148"/>
      <c r="D415" s="148" t="s">
        <v>128</v>
      </c>
      <c r="E415" s="215"/>
      <c r="F415" s="216"/>
      <c r="G415" s="99"/>
      <c r="H415" s="100"/>
      <c r="I415" s="129"/>
      <c r="J415" s="111">
        <v>3561692</v>
      </c>
      <c r="K415" s="112"/>
    </row>
    <row r="416" spans="2:11" x14ac:dyDescent="0.2">
      <c r="B416" s="230"/>
      <c r="C416" s="148"/>
      <c r="D416" s="148"/>
      <c r="E416" s="215"/>
      <c r="F416" s="216"/>
      <c r="G416" s="99"/>
      <c r="H416" s="100"/>
      <c r="I416" s="129"/>
      <c r="J416" s="111"/>
      <c r="K416" s="112"/>
    </row>
    <row r="417" spans="2:11" x14ac:dyDescent="0.2">
      <c r="B417" s="230"/>
      <c r="C417" s="148"/>
      <c r="D417" s="148"/>
      <c r="E417" s="215"/>
      <c r="F417" s="216"/>
      <c r="G417" s="99"/>
      <c r="H417" s="100"/>
      <c r="I417" s="129"/>
      <c r="J417" s="111"/>
      <c r="K417" s="112"/>
    </row>
    <row r="418" spans="2:11" x14ac:dyDescent="0.2">
      <c r="B418" s="230"/>
      <c r="C418" s="148"/>
      <c r="D418" s="148"/>
      <c r="E418" s="215"/>
      <c r="F418" s="216"/>
      <c r="G418" s="99"/>
      <c r="H418" s="100"/>
      <c r="I418" s="129"/>
      <c r="J418" s="111"/>
      <c r="K418" s="112"/>
    </row>
    <row r="419" spans="2:11" ht="15" x14ac:dyDescent="0.25">
      <c r="B419" s="279"/>
      <c r="C419" s="280">
        <v>2020110304</v>
      </c>
      <c r="D419" s="280" t="s">
        <v>92</v>
      </c>
      <c r="E419" s="281">
        <v>21030768.590477761</v>
      </c>
      <c r="F419" s="282">
        <f>SUM(F420:F430)</f>
        <v>0</v>
      </c>
      <c r="G419" s="282">
        <f t="shared" ref="G419:H419" si="37">SUM(G420:G430)</f>
        <v>0</v>
      </c>
      <c r="H419" s="282">
        <f t="shared" si="37"/>
        <v>0</v>
      </c>
      <c r="I419" s="283">
        <f t="shared" si="21"/>
        <v>21030768.590477761</v>
      </c>
      <c r="J419" s="307">
        <f>SUM(J420:J430)</f>
        <v>5236312</v>
      </c>
      <c r="K419" s="288">
        <f>I419-J419</f>
        <v>15794456.590477761</v>
      </c>
    </row>
    <row r="420" spans="2:11" x14ac:dyDescent="0.2">
      <c r="B420" s="301">
        <v>43129</v>
      </c>
      <c r="C420" s="148"/>
      <c r="D420" s="148" t="s">
        <v>189</v>
      </c>
      <c r="E420" s="215"/>
      <c r="F420" s="216"/>
      <c r="G420" s="99"/>
      <c r="H420" s="100"/>
      <c r="I420" s="129"/>
      <c r="J420" s="111">
        <f>2250600-620429</f>
        <v>1630171</v>
      </c>
      <c r="K420" s="231"/>
    </row>
    <row r="421" spans="2:11" x14ac:dyDescent="0.2">
      <c r="B421" s="301">
        <v>43157</v>
      </c>
      <c r="C421" s="148"/>
      <c r="D421" s="148" t="s">
        <v>204</v>
      </c>
      <c r="E421" s="215"/>
      <c r="F421" s="216"/>
      <c r="G421" s="99"/>
      <c r="H421" s="100"/>
      <c r="I421" s="129"/>
      <c r="J421" s="111">
        <f>1512900-410734</f>
        <v>1102166</v>
      </c>
      <c r="K421" s="231"/>
    </row>
    <row r="422" spans="2:11" x14ac:dyDescent="0.2">
      <c r="B422" s="301">
        <v>43181</v>
      </c>
      <c r="C422" s="148"/>
      <c r="D422" s="148" t="s">
        <v>211</v>
      </c>
      <c r="E422" s="215"/>
      <c r="F422" s="216"/>
      <c r="G422" s="99"/>
      <c r="H422" s="100"/>
      <c r="I422" s="129"/>
      <c r="J422" s="111">
        <f>1821300-494401</f>
        <v>1326899</v>
      </c>
      <c r="K422" s="231"/>
    </row>
    <row r="423" spans="2:11" x14ac:dyDescent="0.2">
      <c r="B423" s="301">
        <v>43215</v>
      </c>
      <c r="C423" s="148"/>
      <c r="D423" s="148" t="s">
        <v>225</v>
      </c>
      <c r="E423" s="215"/>
      <c r="F423" s="216"/>
      <c r="G423" s="99"/>
      <c r="H423" s="100"/>
      <c r="I423" s="129"/>
      <c r="J423" s="111">
        <f>1615700-438624</f>
        <v>1177076</v>
      </c>
      <c r="K423" s="231"/>
    </row>
    <row r="424" spans="2:11" x14ac:dyDescent="0.2">
      <c r="B424" s="230"/>
      <c r="C424" s="148"/>
      <c r="D424" s="148"/>
      <c r="E424" s="215"/>
      <c r="F424" s="216"/>
      <c r="G424" s="99"/>
      <c r="H424" s="100"/>
      <c r="I424" s="129"/>
      <c r="J424" s="111"/>
      <c r="K424" s="231"/>
    </row>
    <row r="425" spans="2:11" x14ac:dyDescent="0.2">
      <c r="B425" s="230"/>
      <c r="C425" s="148"/>
      <c r="D425" s="148"/>
      <c r="E425" s="215"/>
      <c r="F425" s="216"/>
      <c r="G425" s="99"/>
      <c r="H425" s="100"/>
      <c r="I425" s="129"/>
      <c r="J425" s="111"/>
      <c r="K425" s="231"/>
    </row>
    <row r="426" spans="2:11" x14ac:dyDescent="0.2">
      <c r="B426" s="230"/>
      <c r="C426" s="148"/>
      <c r="D426" s="148"/>
      <c r="E426" s="215"/>
      <c r="F426" s="216"/>
      <c r="G426" s="99"/>
      <c r="H426" s="100"/>
      <c r="I426" s="129"/>
      <c r="J426" s="111"/>
      <c r="K426" s="231"/>
    </row>
    <row r="427" spans="2:11" x14ac:dyDescent="0.2">
      <c r="B427" s="230"/>
      <c r="C427" s="148"/>
      <c r="D427" s="148"/>
      <c r="E427" s="215"/>
      <c r="F427" s="216"/>
      <c r="G427" s="99"/>
      <c r="H427" s="100"/>
      <c r="I427" s="129"/>
      <c r="J427" s="111"/>
      <c r="K427" s="231"/>
    </row>
    <row r="428" spans="2:11" x14ac:dyDescent="0.2">
      <c r="B428" s="230"/>
      <c r="C428" s="148"/>
      <c r="D428" s="148"/>
      <c r="E428" s="215"/>
      <c r="F428" s="216"/>
      <c r="G428" s="99"/>
      <c r="H428" s="100"/>
      <c r="I428" s="129"/>
      <c r="J428" s="111"/>
      <c r="K428" s="231"/>
    </row>
    <row r="429" spans="2:11" x14ac:dyDescent="0.2">
      <c r="B429" s="230"/>
      <c r="C429" s="148"/>
      <c r="D429" s="148"/>
      <c r="E429" s="215"/>
      <c r="F429" s="216"/>
      <c r="G429" s="99"/>
      <c r="H429" s="100"/>
      <c r="I429" s="129"/>
      <c r="J429" s="111"/>
      <c r="K429" s="231"/>
    </row>
    <row r="430" spans="2:11" x14ac:dyDescent="0.2">
      <c r="B430" s="230"/>
      <c r="C430" s="148"/>
      <c r="D430" s="148"/>
      <c r="E430" s="215"/>
      <c r="F430" s="216"/>
      <c r="G430" s="99"/>
      <c r="H430" s="100"/>
      <c r="I430" s="129"/>
      <c r="J430" s="111"/>
      <c r="K430" s="231"/>
    </row>
    <row r="431" spans="2:11" ht="15" x14ac:dyDescent="0.25">
      <c r="B431" s="279"/>
      <c r="C431" s="280">
        <v>2020110305</v>
      </c>
      <c r="D431" s="280" t="s">
        <v>93</v>
      </c>
      <c r="E431" s="281">
        <v>6207712.159777239</v>
      </c>
      <c r="F431" s="282">
        <f>SUM(F432:F437)</f>
        <v>0</v>
      </c>
      <c r="G431" s="282">
        <f t="shared" ref="G431:H431" si="38">SUM(G432:G437)</f>
        <v>0</v>
      </c>
      <c r="H431" s="282">
        <f t="shared" si="38"/>
        <v>0</v>
      </c>
      <c r="I431" s="283">
        <f>E431+F431+G431-H431</f>
        <v>6207712.159777239</v>
      </c>
      <c r="J431" s="307">
        <f>SUM(J432:J437)</f>
        <v>0</v>
      </c>
      <c r="K431" s="288">
        <f>I431-J431</f>
        <v>6207712.159777239</v>
      </c>
    </row>
    <row r="432" spans="2:11" x14ac:dyDescent="0.2">
      <c r="B432" s="230"/>
      <c r="C432" s="148"/>
      <c r="D432" s="148"/>
      <c r="E432" s="215"/>
      <c r="F432" s="216"/>
      <c r="G432" s="99"/>
      <c r="H432" s="100"/>
      <c r="I432" s="129"/>
      <c r="J432" s="111"/>
      <c r="K432" s="231"/>
    </row>
    <row r="433" spans="2:11" x14ac:dyDescent="0.2">
      <c r="B433" s="230"/>
      <c r="C433" s="148"/>
      <c r="D433" s="148"/>
      <c r="E433" s="215"/>
      <c r="F433" s="216"/>
      <c r="G433" s="99"/>
      <c r="H433" s="100"/>
      <c r="I433" s="129"/>
      <c r="J433" s="111"/>
      <c r="K433" s="231"/>
    </row>
    <row r="434" spans="2:11" x14ac:dyDescent="0.2">
      <c r="B434" s="230"/>
      <c r="C434" s="148"/>
      <c r="D434" s="148"/>
      <c r="E434" s="215"/>
      <c r="F434" s="216"/>
      <c r="G434" s="99"/>
      <c r="H434" s="100"/>
      <c r="I434" s="129"/>
      <c r="J434" s="111"/>
      <c r="K434" s="231"/>
    </row>
    <row r="435" spans="2:11" x14ac:dyDescent="0.2">
      <c r="B435" s="230"/>
      <c r="C435" s="148"/>
      <c r="D435" s="148"/>
      <c r="E435" s="215"/>
      <c r="F435" s="216"/>
      <c r="G435" s="99"/>
      <c r="H435" s="100"/>
      <c r="I435" s="129"/>
      <c r="J435" s="111"/>
      <c r="K435" s="231"/>
    </row>
    <row r="436" spans="2:11" x14ac:dyDescent="0.2">
      <c r="B436" s="230"/>
      <c r="C436" s="148"/>
      <c r="D436" s="148"/>
      <c r="E436" s="215"/>
      <c r="F436" s="216"/>
      <c r="G436" s="99"/>
      <c r="H436" s="100"/>
      <c r="I436" s="129"/>
      <c r="J436" s="111"/>
      <c r="K436" s="231"/>
    </row>
    <row r="437" spans="2:11" x14ac:dyDescent="0.2">
      <c r="B437" s="230"/>
      <c r="C437" s="148"/>
      <c r="D437" s="148"/>
      <c r="E437" s="215"/>
      <c r="F437" s="216"/>
      <c r="G437" s="99"/>
      <c r="H437" s="100"/>
      <c r="I437" s="129"/>
      <c r="J437" s="111"/>
      <c r="K437" s="231"/>
    </row>
    <row r="438" spans="2:11" s="313" customFormat="1" ht="36" x14ac:dyDescent="0.25">
      <c r="B438" s="308"/>
      <c r="C438" s="309">
        <v>20201104</v>
      </c>
      <c r="D438" s="310" t="s">
        <v>156</v>
      </c>
      <c r="E438" s="311">
        <f t="shared" ref="E438:J438" si="39">ROUND((E439+E450+E454+E466+E478+E491+E507+E521+E540+E550),0)</f>
        <v>127422616</v>
      </c>
      <c r="F438" s="311">
        <f t="shared" si="39"/>
        <v>0</v>
      </c>
      <c r="G438" s="311">
        <f t="shared" si="39"/>
        <v>0</v>
      </c>
      <c r="H438" s="311">
        <f t="shared" si="39"/>
        <v>0</v>
      </c>
      <c r="I438" s="311">
        <f t="shared" si="39"/>
        <v>127422616</v>
      </c>
      <c r="J438" s="311">
        <f t="shared" si="39"/>
        <v>32056332</v>
      </c>
      <c r="K438" s="312">
        <f>I438-J438</f>
        <v>95366284</v>
      </c>
    </row>
    <row r="439" spans="2:11" ht="15" x14ac:dyDescent="0.25">
      <c r="B439" s="279"/>
      <c r="C439" s="314" t="s">
        <v>95</v>
      </c>
      <c r="D439" s="280" t="s">
        <v>206</v>
      </c>
      <c r="E439" s="281">
        <v>38584317</v>
      </c>
      <c r="F439" s="282">
        <f>SUM(F440:F449)</f>
        <v>0</v>
      </c>
      <c r="G439" s="282">
        <f t="shared" ref="G439:H439" si="40">SUM(G440:G449)</f>
        <v>0</v>
      </c>
      <c r="H439" s="282">
        <f t="shared" si="40"/>
        <v>0</v>
      </c>
      <c r="I439" s="283">
        <f>ROUND((E439+F439+G439-H439),0)</f>
        <v>38584317</v>
      </c>
      <c r="J439" s="307">
        <f>SUM(J440:J449)</f>
        <v>889141</v>
      </c>
      <c r="K439" s="288">
        <f>I439-J439</f>
        <v>37695176</v>
      </c>
    </row>
    <row r="440" spans="2:11" x14ac:dyDescent="0.2">
      <c r="B440" s="230" t="s">
        <v>126</v>
      </c>
      <c r="C440" s="229"/>
      <c r="D440" s="148" t="s">
        <v>207</v>
      </c>
      <c r="E440" s="215"/>
      <c r="F440" s="216"/>
      <c r="G440" s="99"/>
      <c r="H440" s="100"/>
      <c r="I440" s="129"/>
      <c r="J440" s="111">
        <v>889141</v>
      </c>
      <c r="K440" s="231"/>
    </row>
    <row r="441" spans="2:11" x14ac:dyDescent="0.2">
      <c r="B441" s="230"/>
      <c r="C441" s="229"/>
      <c r="D441" s="148"/>
      <c r="E441" s="215"/>
      <c r="F441" s="216"/>
      <c r="G441" s="99"/>
      <c r="H441" s="100"/>
      <c r="I441" s="129"/>
      <c r="J441" s="111"/>
      <c r="K441" s="231"/>
    </row>
    <row r="442" spans="2:11" x14ac:dyDescent="0.2">
      <c r="B442" s="230"/>
      <c r="C442" s="229"/>
      <c r="D442" s="148"/>
      <c r="E442" s="215"/>
      <c r="F442" s="216"/>
      <c r="G442" s="99"/>
      <c r="H442" s="100"/>
      <c r="I442" s="129"/>
      <c r="J442" s="111"/>
      <c r="K442" s="231"/>
    </row>
    <row r="443" spans="2:11" x14ac:dyDescent="0.2">
      <c r="B443" s="230"/>
      <c r="C443" s="229"/>
      <c r="D443" s="148"/>
      <c r="E443" s="215"/>
      <c r="F443" s="216"/>
      <c r="G443" s="99"/>
      <c r="H443" s="100"/>
      <c r="I443" s="129"/>
      <c r="J443" s="111"/>
      <c r="K443" s="231"/>
    </row>
    <row r="444" spans="2:11" x14ac:dyDescent="0.2">
      <c r="B444" s="230"/>
      <c r="C444" s="229"/>
      <c r="D444" s="148"/>
      <c r="E444" s="215"/>
      <c r="F444" s="216"/>
      <c r="G444" s="99"/>
      <c r="H444" s="100"/>
      <c r="I444" s="129"/>
      <c r="J444" s="111"/>
      <c r="K444" s="231"/>
    </row>
    <row r="445" spans="2:11" x14ac:dyDescent="0.2">
      <c r="B445" s="230"/>
      <c r="C445" s="229"/>
      <c r="D445" s="148"/>
      <c r="E445" s="215"/>
      <c r="F445" s="216"/>
      <c r="G445" s="99"/>
      <c r="H445" s="100"/>
      <c r="I445" s="129"/>
      <c r="J445" s="111"/>
      <c r="K445" s="231"/>
    </row>
    <row r="446" spans="2:11" x14ac:dyDescent="0.2">
      <c r="B446" s="230"/>
      <c r="C446" s="229"/>
      <c r="D446" s="148"/>
      <c r="E446" s="215"/>
      <c r="F446" s="216"/>
      <c r="G446" s="99"/>
      <c r="H446" s="100"/>
      <c r="I446" s="129"/>
      <c r="J446" s="111"/>
      <c r="K446" s="231"/>
    </row>
    <row r="447" spans="2:11" x14ac:dyDescent="0.2">
      <c r="B447" s="230"/>
      <c r="C447" s="229"/>
      <c r="D447" s="148"/>
      <c r="E447" s="215"/>
      <c r="F447" s="216"/>
      <c r="G447" s="99"/>
      <c r="H447" s="100"/>
      <c r="I447" s="129"/>
      <c r="J447" s="111"/>
      <c r="K447" s="231"/>
    </row>
    <row r="448" spans="2:11" x14ac:dyDescent="0.2">
      <c r="B448" s="230"/>
      <c r="C448" s="229"/>
      <c r="D448" s="148"/>
      <c r="E448" s="215"/>
      <c r="F448" s="216"/>
      <c r="G448" s="99"/>
      <c r="H448" s="100"/>
      <c r="I448" s="129"/>
      <c r="J448" s="111"/>
      <c r="K448" s="231"/>
    </row>
    <row r="449" spans="2:11" x14ac:dyDescent="0.2">
      <c r="B449" s="230"/>
      <c r="C449" s="229"/>
      <c r="D449" s="148"/>
      <c r="E449" s="215"/>
      <c r="F449" s="216"/>
      <c r="G449" s="99"/>
      <c r="H449" s="100"/>
      <c r="I449" s="129"/>
      <c r="J449" s="111"/>
      <c r="K449" s="231"/>
    </row>
    <row r="450" spans="2:11" ht="15.75" x14ac:dyDescent="0.25">
      <c r="B450" s="238"/>
      <c r="C450" s="239" t="s">
        <v>97</v>
      </c>
      <c r="D450" s="239" t="s">
        <v>91</v>
      </c>
      <c r="E450" s="241">
        <v>0</v>
      </c>
      <c r="F450" s="242"/>
      <c r="G450" s="243"/>
      <c r="H450" s="243"/>
      <c r="I450" s="243">
        <f t="shared" ref="I450:I550" si="41">ROUND((E450+F450+G450-H450),0)</f>
        <v>0</v>
      </c>
      <c r="J450" s="244"/>
      <c r="K450" s="247"/>
    </row>
    <row r="451" spans="2:11" x14ac:dyDescent="0.2">
      <c r="B451" s="230"/>
      <c r="C451" s="148"/>
      <c r="D451" s="148"/>
      <c r="E451" s="215"/>
      <c r="F451" s="216"/>
      <c r="G451" s="99"/>
      <c r="H451" s="100"/>
      <c r="I451" s="129"/>
      <c r="J451" s="111"/>
      <c r="K451" s="231"/>
    </row>
    <row r="452" spans="2:11" x14ac:dyDescent="0.2">
      <c r="B452" s="230"/>
      <c r="C452" s="148"/>
      <c r="D452" s="148"/>
      <c r="E452" s="215"/>
      <c r="F452" s="216"/>
      <c r="G452" s="99"/>
      <c r="H452" s="100"/>
      <c r="I452" s="129"/>
      <c r="J452" s="111"/>
      <c r="K452" s="231"/>
    </row>
    <row r="453" spans="2:11" x14ac:dyDescent="0.2">
      <c r="B453" s="230"/>
      <c r="C453" s="148"/>
      <c r="D453" s="148"/>
      <c r="E453" s="215"/>
      <c r="F453" s="216"/>
      <c r="G453" s="99"/>
      <c r="H453" s="100"/>
      <c r="I453" s="129"/>
      <c r="J453" s="111"/>
      <c r="K453" s="231"/>
    </row>
    <row r="454" spans="2:11" ht="15.75" x14ac:dyDescent="0.25">
      <c r="B454" s="238"/>
      <c r="C454" s="239" t="s">
        <v>98</v>
      </c>
      <c r="D454" s="239" t="s">
        <v>99</v>
      </c>
      <c r="E454" s="241">
        <v>2664792</v>
      </c>
      <c r="F454" s="242">
        <f>SUM(F455:F465)</f>
        <v>0</v>
      </c>
      <c r="G454" s="242">
        <f t="shared" ref="G454:H454" si="42">SUM(G455:G465)</f>
        <v>0</v>
      </c>
      <c r="H454" s="242">
        <f t="shared" si="42"/>
        <v>0</v>
      </c>
      <c r="I454" s="243">
        <f t="shared" si="41"/>
        <v>2664792</v>
      </c>
      <c r="J454" s="244">
        <f>SUM(J455:J465)</f>
        <v>1137500</v>
      </c>
      <c r="K454" s="245">
        <f>I454-J454</f>
        <v>1527292</v>
      </c>
    </row>
    <row r="455" spans="2:11" x14ac:dyDescent="0.2">
      <c r="B455" s="301">
        <v>43129</v>
      </c>
      <c r="C455" s="148"/>
      <c r="D455" s="148" t="s">
        <v>183</v>
      </c>
      <c r="E455" s="215"/>
      <c r="F455" s="216"/>
      <c r="G455" s="99"/>
      <c r="H455" s="100"/>
      <c r="I455" s="129"/>
      <c r="J455" s="111">
        <v>267200</v>
      </c>
      <c r="K455" s="231"/>
    </row>
    <row r="456" spans="2:11" x14ac:dyDescent="0.2">
      <c r="B456" s="301">
        <v>43157</v>
      </c>
      <c r="C456" s="148"/>
      <c r="D456" s="148" t="s">
        <v>200</v>
      </c>
      <c r="E456" s="215"/>
      <c r="F456" s="216"/>
      <c r="G456" s="99"/>
      <c r="H456" s="100"/>
      <c r="I456" s="129"/>
      <c r="J456" s="111">
        <v>267200</v>
      </c>
      <c r="K456" s="231"/>
    </row>
    <row r="457" spans="2:11" x14ac:dyDescent="0.2">
      <c r="B457" s="301">
        <v>43181</v>
      </c>
      <c r="C457" s="148"/>
      <c r="D457" s="148" t="s">
        <v>127</v>
      </c>
      <c r="E457" s="215"/>
      <c r="F457" s="216"/>
      <c r="G457" s="99"/>
      <c r="H457" s="100"/>
      <c r="I457" s="129"/>
      <c r="J457" s="111">
        <v>318800</v>
      </c>
      <c r="K457" s="231"/>
    </row>
    <row r="458" spans="2:11" x14ac:dyDescent="0.2">
      <c r="B458" s="301">
        <v>43215</v>
      </c>
      <c r="C458" s="148"/>
      <c r="D458" s="148" t="s">
        <v>128</v>
      </c>
      <c r="E458" s="215"/>
      <c r="F458" s="216"/>
      <c r="G458" s="99"/>
      <c r="H458" s="100"/>
      <c r="I458" s="129"/>
      <c r="J458" s="111">
        <v>284300</v>
      </c>
      <c r="K458" s="231"/>
    </row>
    <row r="459" spans="2:11" x14ac:dyDescent="0.2">
      <c r="B459" s="230"/>
      <c r="C459" s="148"/>
      <c r="D459" s="148"/>
      <c r="E459" s="215"/>
      <c r="F459" s="216"/>
      <c r="G459" s="99"/>
      <c r="H459" s="100"/>
      <c r="I459" s="129"/>
      <c r="J459" s="111"/>
      <c r="K459" s="231"/>
    </row>
    <row r="460" spans="2:11" x14ac:dyDescent="0.2">
      <c r="B460" s="230"/>
      <c r="C460" s="148"/>
      <c r="D460" s="148"/>
      <c r="E460" s="215"/>
      <c r="F460" s="216"/>
      <c r="G460" s="99"/>
      <c r="H460" s="100"/>
      <c r="I460" s="129"/>
      <c r="J460" s="111"/>
      <c r="K460" s="231"/>
    </row>
    <row r="461" spans="2:11" x14ac:dyDescent="0.2">
      <c r="B461" s="230"/>
      <c r="C461" s="148"/>
      <c r="D461" s="148"/>
      <c r="E461" s="215"/>
      <c r="F461" s="216"/>
      <c r="G461" s="99"/>
      <c r="H461" s="100"/>
      <c r="I461" s="129"/>
      <c r="J461" s="111"/>
      <c r="K461" s="231"/>
    </row>
    <row r="462" spans="2:11" x14ac:dyDescent="0.2">
      <c r="B462" s="230"/>
      <c r="C462" s="148"/>
      <c r="D462" s="148"/>
      <c r="E462" s="215"/>
      <c r="F462" s="216"/>
      <c r="G462" s="99"/>
      <c r="H462" s="100"/>
      <c r="I462" s="129"/>
      <c r="J462" s="111"/>
      <c r="K462" s="231"/>
    </row>
    <row r="463" spans="2:11" x14ac:dyDescent="0.2">
      <c r="B463" s="230"/>
      <c r="C463" s="148"/>
      <c r="D463" s="148"/>
      <c r="E463" s="215"/>
      <c r="F463" s="216"/>
      <c r="G463" s="99"/>
      <c r="H463" s="100"/>
      <c r="I463" s="129"/>
      <c r="J463" s="111"/>
      <c r="K463" s="231"/>
    </row>
    <row r="464" spans="2:11" x14ac:dyDescent="0.2">
      <c r="B464" s="230"/>
      <c r="C464" s="148"/>
      <c r="D464" s="148"/>
      <c r="E464" s="215"/>
      <c r="F464" s="216"/>
      <c r="G464" s="99"/>
      <c r="H464" s="100"/>
      <c r="I464" s="129"/>
      <c r="J464" s="111"/>
      <c r="K464" s="231"/>
    </row>
    <row r="465" spans="2:11" x14ac:dyDescent="0.2">
      <c r="B465" s="230"/>
      <c r="C465" s="148"/>
      <c r="D465" s="148"/>
      <c r="E465" s="215"/>
      <c r="F465" s="216"/>
      <c r="G465" s="99"/>
      <c r="H465" s="100"/>
      <c r="I465" s="129"/>
      <c r="J465" s="111"/>
      <c r="K465" s="231"/>
    </row>
    <row r="466" spans="2:11" ht="15.75" x14ac:dyDescent="0.25">
      <c r="B466" s="238"/>
      <c r="C466" s="239" t="s">
        <v>100</v>
      </c>
      <c r="D466" s="239" t="s">
        <v>92</v>
      </c>
      <c r="E466" s="241">
        <v>40228819</v>
      </c>
      <c r="F466" s="242">
        <f>SUM(F467:F477)</f>
        <v>0</v>
      </c>
      <c r="G466" s="242">
        <f t="shared" ref="G466:H466" si="43">SUM(G467:G477)</f>
        <v>0</v>
      </c>
      <c r="H466" s="242">
        <f t="shared" si="43"/>
        <v>0</v>
      </c>
      <c r="I466" s="243">
        <f t="shared" si="41"/>
        <v>40228819</v>
      </c>
      <c r="J466" s="244">
        <f>SUM(J467:J477)</f>
        <v>14999191</v>
      </c>
      <c r="K466" s="245">
        <f>I466-J466</f>
        <v>25229628</v>
      </c>
    </row>
    <row r="467" spans="2:11" x14ac:dyDescent="0.2">
      <c r="B467" s="301">
        <v>43129</v>
      </c>
      <c r="C467" s="148"/>
      <c r="D467" s="148" t="s">
        <v>190</v>
      </c>
      <c r="E467" s="215"/>
      <c r="F467" s="216"/>
      <c r="G467" s="99"/>
      <c r="H467" s="100"/>
      <c r="I467" s="129"/>
      <c r="J467" s="111">
        <f>4286200-1203196</f>
        <v>3083004</v>
      </c>
      <c r="K467" s="231"/>
    </row>
    <row r="468" spans="2:11" x14ac:dyDescent="0.2">
      <c r="B468" s="301">
        <v>43157</v>
      </c>
      <c r="C468" s="148"/>
      <c r="D468" s="148" t="s">
        <v>205</v>
      </c>
      <c r="E468" s="215"/>
      <c r="F468" s="216"/>
      <c r="G468" s="99"/>
      <c r="H468" s="100"/>
      <c r="I468" s="129"/>
      <c r="J468" s="111">
        <f>5023900-1398466</f>
        <v>3625434</v>
      </c>
      <c r="K468" s="231"/>
    </row>
    <row r="469" spans="2:11" x14ac:dyDescent="0.2">
      <c r="B469" s="301">
        <v>43181</v>
      </c>
      <c r="C469" s="148"/>
      <c r="D469" s="148" t="s">
        <v>212</v>
      </c>
      <c r="E469" s="215"/>
      <c r="F469" s="216"/>
      <c r="G469" s="99"/>
      <c r="H469" s="100"/>
      <c r="I469" s="129"/>
      <c r="J469" s="111">
        <f>6065700-1657903</f>
        <v>4407797</v>
      </c>
      <c r="K469" s="231"/>
    </row>
    <row r="470" spans="2:11" x14ac:dyDescent="0.2">
      <c r="B470" s="301">
        <v>43214</v>
      </c>
      <c r="C470" s="148"/>
      <c r="D470" s="148" t="s">
        <v>226</v>
      </c>
      <c r="E470" s="215"/>
      <c r="F470" s="216"/>
      <c r="G470" s="99"/>
      <c r="H470" s="100"/>
      <c r="I470" s="129"/>
      <c r="J470" s="111">
        <f>5367900-1484944</f>
        <v>3882956</v>
      </c>
      <c r="K470" s="231"/>
    </row>
    <row r="471" spans="2:11" x14ac:dyDescent="0.2">
      <c r="B471" s="230"/>
      <c r="C471" s="148"/>
      <c r="D471" s="148"/>
      <c r="E471" s="215"/>
      <c r="F471" s="216"/>
      <c r="G471" s="99"/>
      <c r="H471" s="100"/>
      <c r="I471" s="129"/>
      <c r="J471" s="111"/>
      <c r="K471" s="231"/>
    </row>
    <row r="472" spans="2:11" x14ac:dyDescent="0.2">
      <c r="B472" s="230"/>
      <c r="C472" s="148"/>
      <c r="D472" s="148"/>
      <c r="E472" s="215"/>
      <c r="F472" s="216"/>
      <c r="G472" s="99"/>
      <c r="H472" s="100"/>
      <c r="I472" s="129"/>
      <c r="J472" s="111"/>
      <c r="K472" s="231"/>
    </row>
    <row r="473" spans="2:11" x14ac:dyDescent="0.2">
      <c r="B473" s="230"/>
      <c r="C473" s="148"/>
      <c r="D473" s="148"/>
      <c r="E473" s="215"/>
      <c r="F473" s="216"/>
      <c r="G473" s="99"/>
      <c r="H473" s="100"/>
      <c r="I473" s="129"/>
      <c r="J473" s="111"/>
      <c r="K473" s="231"/>
    </row>
    <row r="474" spans="2:11" x14ac:dyDescent="0.2">
      <c r="B474" s="230"/>
      <c r="C474" s="148"/>
      <c r="D474" s="148"/>
      <c r="E474" s="215"/>
      <c r="F474" s="216"/>
      <c r="G474" s="99"/>
      <c r="H474" s="100"/>
      <c r="I474" s="129"/>
      <c r="J474" s="111"/>
      <c r="K474" s="231"/>
    </row>
    <row r="475" spans="2:11" x14ac:dyDescent="0.2">
      <c r="B475" s="230"/>
      <c r="C475" s="148"/>
      <c r="D475" s="148"/>
      <c r="E475" s="215"/>
      <c r="F475" s="216"/>
      <c r="G475" s="99"/>
      <c r="H475" s="100"/>
      <c r="I475" s="129"/>
      <c r="J475" s="111"/>
      <c r="K475" s="231"/>
    </row>
    <row r="476" spans="2:11" x14ac:dyDescent="0.2">
      <c r="B476" s="230"/>
      <c r="C476" s="148"/>
      <c r="D476" s="148"/>
      <c r="E476" s="215"/>
      <c r="F476" s="216"/>
      <c r="G476" s="99"/>
      <c r="H476" s="100"/>
      <c r="I476" s="129"/>
      <c r="J476" s="111"/>
      <c r="K476" s="231"/>
    </row>
    <row r="477" spans="2:11" x14ac:dyDescent="0.2">
      <c r="B477" s="230"/>
      <c r="C477" s="148"/>
      <c r="D477" s="148"/>
      <c r="E477" s="215"/>
      <c r="F477" s="216"/>
      <c r="G477" s="99"/>
      <c r="H477" s="100"/>
      <c r="I477" s="129"/>
      <c r="J477" s="111"/>
      <c r="K477" s="231"/>
    </row>
    <row r="478" spans="2:11" ht="15.75" x14ac:dyDescent="0.25">
      <c r="B478" s="238"/>
      <c r="C478" s="239" t="s">
        <v>101</v>
      </c>
      <c r="D478" s="239" t="s">
        <v>102</v>
      </c>
      <c r="E478" s="241">
        <v>20419860</v>
      </c>
      <c r="F478" s="242">
        <f>SUM(F479:F490)</f>
        <v>0</v>
      </c>
      <c r="G478" s="242">
        <f t="shared" ref="G478:H478" si="44">SUM(G479:G490)</f>
        <v>0</v>
      </c>
      <c r="H478" s="242">
        <f t="shared" si="44"/>
        <v>0</v>
      </c>
      <c r="I478" s="243">
        <f t="shared" si="41"/>
        <v>20419860</v>
      </c>
      <c r="J478" s="244">
        <f>SUM(J479:J490)</f>
        <v>6677500</v>
      </c>
      <c r="K478" s="245">
        <f>I478-J478</f>
        <v>13742360</v>
      </c>
    </row>
    <row r="479" spans="2:11" x14ac:dyDescent="0.2">
      <c r="B479" s="301">
        <v>43129</v>
      </c>
      <c r="C479" s="148"/>
      <c r="D479" s="148" t="s">
        <v>183</v>
      </c>
      <c r="E479" s="215"/>
      <c r="F479" s="216"/>
      <c r="G479" s="99"/>
      <c r="H479" s="100"/>
      <c r="I479" s="129"/>
      <c r="J479" s="111">
        <v>1797800</v>
      </c>
      <c r="K479" s="231"/>
    </row>
    <row r="480" spans="2:11" x14ac:dyDescent="0.2">
      <c r="B480" s="301">
        <v>43157</v>
      </c>
      <c r="C480" s="148"/>
      <c r="D480" s="148" t="s">
        <v>200</v>
      </c>
      <c r="E480" s="215"/>
      <c r="F480" s="216"/>
      <c r="G480" s="99"/>
      <c r="H480" s="100"/>
      <c r="I480" s="129"/>
      <c r="J480" s="111">
        <v>1684300</v>
      </c>
      <c r="K480" s="231"/>
    </row>
    <row r="481" spans="2:11" x14ac:dyDescent="0.2">
      <c r="B481" s="301">
        <v>43181</v>
      </c>
      <c r="C481" s="148"/>
      <c r="D481" s="148" t="s">
        <v>127</v>
      </c>
      <c r="E481" s="215"/>
      <c r="F481" s="216"/>
      <c r="G481" s="99"/>
      <c r="H481" s="100"/>
      <c r="I481" s="129"/>
      <c r="J481" s="111">
        <v>1876800</v>
      </c>
      <c r="K481" s="231"/>
    </row>
    <row r="482" spans="2:11" x14ac:dyDescent="0.2">
      <c r="B482" s="301">
        <v>43214</v>
      </c>
      <c r="C482" s="148"/>
      <c r="D482" s="148" t="s">
        <v>128</v>
      </c>
      <c r="E482" s="215"/>
      <c r="F482" s="216"/>
      <c r="G482" s="99"/>
      <c r="H482" s="100"/>
      <c r="I482" s="129"/>
      <c r="J482" s="111">
        <v>1318600</v>
      </c>
      <c r="K482" s="231"/>
    </row>
    <row r="483" spans="2:11" x14ac:dyDescent="0.2">
      <c r="B483" s="230"/>
      <c r="C483" s="148"/>
      <c r="D483" s="148"/>
      <c r="E483" s="215"/>
      <c r="F483" s="216"/>
      <c r="G483" s="99"/>
      <c r="H483" s="100"/>
      <c r="I483" s="129"/>
      <c r="J483" s="111"/>
      <c r="K483" s="231"/>
    </row>
    <row r="484" spans="2:11" x14ac:dyDescent="0.2">
      <c r="B484" s="230"/>
      <c r="C484" s="148"/>
      <c r="D484" s="148"/>
      <c r="E484" s="215"/>
      <c r="F484" s="216"/>
      <c r="G484" s="99"/>
      <c r="H484" s="100"/>
      <c r="I484" s="129"/>
      <c r="J484" s="111"/>
      <c r="K484" s="231"/>
    </row>
    <row r="485" spans="2:11" x14ac:dyDescent="0.2">
      <c r="B485" s="230"/>
      <c r="C485" s="148"/>
      <c r="D485" s="148"/>
      <c r="E485" s="215"/>
      <c r="F485" s="216"/>
      <c r="G485" s="99"/>
      <c r="H485" s="100"/>
      <c r="I485" s="129"/>
      <c r="J485" s="111"/>
      <c r="K485" s="231"/>
    </row>
    <row r="486" spans="2:11" x14ac:dyDescent="0.2">
      <c r="B486" s="230"/>
      <c r="C486" s="148"/>
      <c r="D486" s="148"/>
      <c r="E486" s="215"/>
      <c r="F486" s="216"/>
      <c r="G486" s="99"/>
      <c r="H486" s="100"/>
      <c r="I486" s="129"/>
      <c r="J486" s="111"/>
      <c r="K486" s="231"/>
    </row>
    <row r="487" spans="2:11" x14ac:dyDescent="0.2">
      <c r="B487" s="230"/>
      <c r="C487" s="148"/>
      <c r="D487" s="148"/>
      <c r="E487" s="215"/>
      <c r="F487" s="216"/>
      <c r="G487" s="99"/>
      <c r="H487" s="100"/>
      <c r="I487" s="129"/>
      <c r="J487" s="111"/>
      <c r="K487" s="231"/>
    </row>
    <row r="488" spans="2:11" x14ac:dyDescent="0.2">
      <c r="B488" s="230"/>
      <c r="C488" s="148"/>
      <c r="D488" s="148"/>
      <c r="E488" s="215"/>
      <c r="F488" s="216"/>
      <c r="G488" s="99"/>
      <c r="H488" s="100"/>
      <c r="I488" s="129"/>
      <c r="J488" s="111"/>
      <c r="K488" s="231"/>
    </row>
    <row r="489" spans="2:11" x14ac:dyDescent="0.2">
      <c r="B489" s="230"/>
      <c r="C489" s="148"/>
      <c r="D489" s="148"/>
      <c r="E489" s="215"/>
      <c r="F489" s="216"/>
      <c r="G489" s="99"/>
      <c r="H489" s="100"/>
      <c r="I489" s="129"/>
      <c r="J489" s="111"/>
      <c r="K489" s="231"/>
    </row>
    <row r="490" spans="2:11" x14ac:dyDescent="0.2">
      <c r="B490" s="230"/>
      <c r="C490" s="148"/>
      <c r="D490" s="148"/>
      <c r="E490" s="215"/>
      <c r="F490" s="216"/>
      <c r="G490" s="99"/>
      <c r="H490" s="100"/>
      <c r="I490" s="129"/>
      <c r="J490" s="111"/>
      <c r="K490" s="231"/>
    </row>
    <row r="491" spans="2:11" ht="15.75" x14ac:dyDescent="0.25">
      <c r="B491" s="238"/>
      <c r="C491" s="239" t="s">
        <v>103</v>
      </c>
      <c r="D491" s="239" t="s">
        <v>104</v>
      </c>
      <c r="E491" s="241">
        <v>15314892</v>
      </c>
      <c r="F491" s="242">
        <f>SUM(F492:F506)</f>
        <v>0</v>
      </c>
      <c r="G491" s="242">
        <f t="shared" ref="G491:H491" si="45">SUM(G492:G506)</f>
        <v>0</v>
      </c>
      <c r="H491" s="242">
        <f t="shared" si="45"/>
        <v>0</v>
      </c>
      <c r="I491" s="243">
        <f t="shared" si="41"/>
        <v>15314892</v>
      </c>
      <c r="J491" s="244">
        <f>SUM(J492:J506)</f>
        <v>5008700</v>
      </c>
      <c r="K491" s="245">
        <f>I491-J491</f>
        <v>10306192</v>
      </c>
    </row>
    <row r="492" spans="2:11" x14ac:dyDescent="0.2">
      <c r="B492" s="301">
        <v>43129</v>
      </c>
      <c r="C492" s="148"/>
      <c r="D492" s="148" t="s">
        <v>183</v>
      </c>
      <c r="E492" s="215"/>
      <c r="F492" s="216"/>
      <c r="G492" s="99"/>
      <c r="H492" s="100"/>
      <c r="I492" s="129"/>
      <c r="J492" s="111">
        <v>1348600</v>
      </c>
      <c r="K492" s="231"/>
    </row>
    <row r="493" spans="2:11" x14ac:dyDescent="0.2">
      <c r="B493" s="301">
        <v>43157</v>
      </c>
      <c r="C493" s="148"/>
      <c r="D493" s="148" t="s">
        <v>200</v>
      </c>
      <c r="E493" s="215"/>
      <c r="F493" s="216"/>
      <c r="G493" s="99"/>
      <c r="H493" s="100"/>
      <c r="I493" s="129"/>
      <c r="J493" s="111">
        <v>1263400</v>
      </c>
      <c r="K493" s="231"/>
    </row>
    <row r="494" spans="2:11" x14ac:dyDescent="0.2">
      <c r="B494" s="301">
        <v>43181</v>
      </c>
      <c r="C494" s="148"/>
      <c r="D494" s="148" t="s">
        <v>127</v>
      </c>
      <c r="E494" s="215"/>
      <c r="F494" s="216"/>
      <c r="G494" s="99"/>
      <c r="H494" s="100"/>
      <c r="I494" s="129"/>
      <c r="J494" s="111">
        <v>1407600</v>
      </c>
      <c r="K494" s="231"/>
    </row>
    <row r="495" spans="2:11" x14ac:dyDescent="0.2">
      <c r="B495" s="301">
        <v>43215</v>
      </c>
      <c r="C495" s="148"/>
      <c r="D495" s="148" t="s">
        <v>128</v>
      </c>
      <c r="E495" s="215"/>
      <c r="F495" s="216"/>
      <c r="G495" s="99"/>
      <c r="H495" s="100"/>
      <c r="I495" s="129"/>
      <c r="J495" s="111">
        <v>989100</v>
      </c>
      <c r="K495" s="231"/>
    </row>
    <row r="496" spans="2:11" x14ac:dyDescent="0.2">
      <c r="B496" s="230"/>
      <c r="C496" s="148"/>
      <c r="D496" s="148"/>
      <c r="E496" s="215"/>
      <c r="F496" s="216"/>
      <c r="G496" s="99"/>
      <c r="H496" s="100"/>
      <c r="I496" s="129"/>
      <c r="J496" s="111"/>
      <c r="K496" s="231"/>
    </row>
    <row r="497" spans="2:11" x14ac:dyDescent="0.2">
      <c r="B497" s="230"/>
      <c r="C497" s="148"/>
      <c r="D497" s="148"/>
      <c r="E497" s="215"/>
      <c r="F497" s="216"/>
      <c r="G497" s="99"/>
      <c r="H497" s="100"/>
      <c r="I497" s="129"/>
      <c r="J497" s="111"/>
      <c r="K497" s="231"/>
    </row>
    <row r="498" spans="2:11" x14ac:dyDescent="0.2">
      <c r="B498" s="230"/>
      <c r="C498" s="148"/>
      <c r="D498" s="148"/>
      <c r="E498" s="215"/>
      <c r="F498" s="216"/>
      <c r="G498" s="99"/>
      <c r="H498" s="100"/>
      <c r="I498" s="129"/>
      <c r="J498" s="111"/>
      <c r="K498" s="231"/>
    </row>
    <row r="499" spans="2:11" x14ac:dyDescent="0.2">
      <c r="B499" s="230"/>
      <c r="C499" s="148"/>
      <c r="D499" s="148"/>
      <c r="E499" s="215"/>
      <c r="F499" s="216"/>
      <c r="G499" s="99"/>
      <c r="H499" s="100"/>
      <c r="I499" s="129"/>
      <c r="J499" s="111"/>
      <c r="K499" s="231"/>
    </row>
    <row r="500" spans="2:11" x14ac:dyDescent="0.2">
      <c r="B500" s="230"/>
      <c r="C500" s="148"/>
      <c r="D500" s="148"/>
      <c r="E500" s="215"/>
      <c r="F500" s="216"/>
      <c r="G500" s="99"/>
      <c r="H500" s="100"/>
      <c r="I500" s="129"/>
      <c r="J500" s="111"/>
      <c r="K500" s="231"/>
    </row>
    <row r="501" spans="2:11" x14ac:dyDescent="0.2">
      <c r="B501" s="230"/>
      <c r="C501" s="148"/>
      <c r="D501" s="148"/>
      <c r="E501" s="215"/>
      <c r="F501" s="216"/>
      <c r="G501" s="99"/>
      <c r="H501" s="100"/>
      <c r="I501" s="129"/>
      <c r="J501" s="111"/>
      <c r="K501" s="231"/>
    </row>
    <row r="502" spans="2:11" x14ac:dyDescent="0.2">
      <c r="B502" s="230"/>
      <c r="C502" s="148"/>
      <c r="D502" s="148"/>
      <c r="E502" s="215"/>
      <c r="F502" s="216"/>
      <c r="G502" s="99"/>
      <c r="H502" s="100"/>
      <c r="I502" s="129"/>
      <c r="J502" s="111"/>
      <c r="K502" s="231"/>
    </row>
    <row r="503" spans="2:11" x14ac:dyDescent="0.2">
      <c r="B503" s="230"/>
      <c r="C503" s="148"/>
      <c r="D503" s="148"/>
      <c r="E503" s="215"/>
      <c r="F503" s="216"/>
      <c r="G503" s="99"/>
      <c r="H503" s="100"/>
      <c r="I503" s="129"/>
      <c r="J503" s="111"/>
      <c r="K503" s="231"/>
    </row>
    <row r="504" spans="2:11" x14ac:dyDescent="0.2">
      <c r="B504" s="230"/>
      <c r="C504" s="148"/>
      <c r="D504" s="148"/>
      <c r="E504" s="215"/>
      <c r="F504" s="216"/>
      <c r="G504" s="99"/>
      <c r="H504" s="100"/>
      <c r="I504" s="129"/>
      <c r="J504" s="111"/>
      <c r="K504" s="231"/>
    </row>
    <row r="505" spans="2:11" x14ac:dyDescent="0.2">
      <c r="B505" s="230"/>
      <c r="C505" s="148"/>
      <c r="D505" s="148"/>
      <c r="E505" s="215"/>
      <c r="F505" s="216"/>
      <c r="G505" s="99"/>
      <c r="H505" s="100"/>
      <c r="I505" s="129"/>
      <c r="J505" s="111"/>
      <c r="K505" s="231"/>
    </row>
    <row r="506" spans="2:11" x14ac:dyDescent="0.2">
      <c r="B506" s="230"/>
      <c r="C506" s="148"/>
      <c r="D506" s="148"/>
      <c r="E506" s="215"/>
      <c r="F506" s="216"/>
      <c r="G506" s="99"/>
      <c r="H506" s="100"/>
      <c r="I506" s="129"/>
      <c r="J506" s="111"/>
      <c r="K506" s="231"/>
    </row>
    <row r="507" spans="2:11" ht="15.75" x14ac:dyDescent="0.25">
      <c r="B507" s="238"/>
      <c r="C507" s="239" t="s">
        <v>105</v>
      </c>
      <c r="D507" s="239" t="s">
        <v>106</v>
      </c>
      <c r="E507" s="241">
        <v>2552484</v>
      </c>
      <c r="F507" s="242">
        <f>SUM(F508:F520)</f>
        <v>0</v>
      </c>
      <c r="G507" s="242">
        <f t="shared" ref="G507:H507" si="46">SUM(G508:G520)</f>
        <v>0</v>
      </c>
      <c r="H507" s="242">
        <f t="shared" si="46"/>
        <v>0</v>
      </c>
      <c r="I507" s="243">
        <f t="shared" si="41"/>
        <v>2552484</v>
      </c>
      <c r="J507" s="244">
        <f>SUM(J508:J520)</f>
        <v>836600</v>
      </c>
      <c r="K507" s="245">
        <f>I507-J507</f>
        <v>1715884</v>
      </c>
    </row>
    <row r="508" spans="2:11" x14ac:dyDescent="0.2">
      <c r="B508" s="301">
        <v>43129</v>
      </c>
      <c r="C508" s="148"/>
      <c r="D508" s="148" t="s">
        <v>183</v>
      </c>
      <c r="E508" s="215"/>
      <c r="F508" s="216"/>
      <c r="G508" s="99"/>
      <c r="H508" s="100"/>
      <c r="I508" s="129"/>
      <c r="J508" s="111">
        <v>225200</v>
      </c>
      <c r="K508" s="231"/>
    </row>
    <row r="509" spans="2:11" x14ac:dyDescent="0.2">
      <c r="B509" s="301">
        <v>43157</v>
      </c>
      <c r="C509" s="148"/>
      <c r="D509" s="148" t="s">
        <v>200</v>
      </c>
      <c r="E509" s="215"/>
      <c r="F509" s="216"/>
      <c r="G509" s="99"/>
      <c r="H509" s="100"/>
      <c r="I509" s="129"/>
      <c r="J509" s="111">
        <v>211000</v>
      </c>
      <c r="K509" s="231"/>
    </row>
    <row r="510" spans="2:11" x14ac:dyDescent="0.2">
      <c r="B510" s="301">
        <v>43181</v>
      </c>
      <c r="C510" s="148"/>
      <c r="D510" s="148" t="s">
        <v>127</v>
      </c>
      <c r="E510" s="215"/>
      <c r="F510" s="216"/>
      <c r="G510" s="99"/>
      <c r="H510" s="100"/>
      <c r="I510" s="129"/>
      <c r="J510" s="111">
        <v>235100</v>
      </c>
      <c r="K510" s="231"/>
    </row>
    <row r="511" spans="2:11" x14ac:dyDescent="0.2">
      <c r="B511" s="301">
        <v>43214</v>
      </c>
      <c r="C511" s="148"/>
      <c r="D511" s="148" t="s">
        <v>128</v>
      </c>
      <c r="E511" s="215"/>
      <c r="F511" s="216"/>
      <c r="G511" s="99"/>
      <c r="H511" s="100"/>
      <c r="I511" s="129"/>
      <c r="J511" s="111">
        <v>165300</v>
      </c>
      <c r="K511" s="231"/>
    </row>
    <row r="512" spans="2:11" x14ac:dyDescent="0.2">
      <c r="B512" s="230"/>
      <c r="C512" s="148"/>
      <c r="D512" s="148"/>
      <c r="E512" s="215"/>
      <c r="F512" s="216"/>
      <c r="G512" s="99"/>
      <c r="H512" s="100"/>
      <c r="I512" s="129"/>
      <c r="J512" s="111"/>
      <c r="K512" s="231"/>
    </row>
    <row r="513" spans="2:11" x14ac:dyDescent="0.2">
      <c r="B513" s="230"/>
      <c r="C513" s="148"/>
      <c r="D513" s="148"/>
      <c r="E513" s="215"/>
      <c r="F513" s="216"/>
      <c r="G513" s="99"/>
      <c r="H513" s="100"/>
      <c r="I513" s="129"/>
      <c r="J513" s="111"/>
      <c r="K513" s="231"/>
    </row>
    <row r="514" spans="2:11" x14ac:dyDescent="0.2">
      <c r="B514" s="230"/>
      <c r="C514" s="148"/>
      <c r="D514" s="148"/>
      <c r="E514" s="215"/>
      <c r="F514" s="216"/>
      <c r="G514" s="99"/>
      <c r="H514" s="100"/>
      <c r="I514" s="129"/>
      <c r="J514" s="111"/>
      <c r="K514" s="231"/>
    </row>
    <row r="515" spans="2:11" x14ac:dyDescent="0.2">
      <c r="B515" s="230"/>
      <c r="C515" s="148"/>
      <c r="D515" s="148"/>
      <c r="E515" s="215"/>
      <c r="F515" s="216"/>
      <c r="G515" s="99"/>
      <c r="H515" s="100"/>
      <c r="I515" s="129"/>
      <c r="J515" s="111"/>
      <c r="K515" s="231"/>
    </row>
    <row r="516" spans="2:11" x14ac:dyDescent="0.2">
      <c r="B516" s="230"/>
      <c r="C516" s="148"/>
      <c r="D516" s="148"/>
      <c r="E516" s="215"/>
      <c r="F516" s="216"/>
      <c r="G516" s="99"/>
      <c r="H516" s="100"/>
      <c r="I516" s="129"/>
      <c r="J516" s="111"/>
      <c r="K516" s="231"/>
    </row>
    <row r="517" spans="2:11" x14ac:dyDescent="0.2">
      <c r="B517" s="230"/>
      <c r="C517" s="148"/>
      <c r="D517" s="148"/>
      <c r="E517" s="215"/>
      <c r="F517" s="216"/>
      <c r="G517" s="99"/>
      <c r="H517" s="100"/>
      <c r="I517" s="129"/>
      <c r="J517" s="111"/>
      <c r="K517" s="231"/>
    </row>
    <row r="518" spans="2:11" x14ac:dyDescent="0.2">
      <c r="B518" s="230"/>
      <c r="C518" s="148"/>
      <c r="D518" s="148"/>
      <c r="E518" s="215"/>
      <c r="F518" s="216"/>
      <c r="G518" s="99"/>
      <c r="H518" s="100"/>
      <c r="I518" s="129"/>
      <c r="J518" s="111"/>
      <c r="K518" s="231"/>
    </row>
    <row r="519" spans="2:11" x14ac:dyDescent="0.2">
      <c r="B519" s="230"/>
      <c r="C519" s="148"/>
      <c r="D519" s="148"/>
      <c r="E519" s="215"/>
      <c r="F519" s="216"/>
      <c r="G519" s="99"/>
      <c r="H519" s="100"/>
      <c r="I519" s="129"/>
      <c r="J519" s="111"/>
      <c r="K519" s="231"/>
    </row>
    <row r="520" spans="2:11" x14ac:dyDescent="0.2">
      <c r="B520" s="230"/>
      <c r="C520" s="148"/>
      <c r="D520" s="148"/>
      <c r="E520" s="215"/>
      <c r="F520" s="216"/>
      <c r="G520" s="99"/>
      <c r="H520" s="100"/>
      <c r="I520" s="129"/>
      <c r="J520" s="111"/>
      <c r="K520" s="231"/>
    </row>
    <row r="521" spans="2:11" ht="15.75" x14ac:dyDescent="0.25">
      <c r="B521" s="238"/>
      <c r="C521" s="239" t="s">
        <v>107</v>
      </c>
      <c r="D521" s="239" t="s">
        <v>108</v>
      </c>
      <c r="E521" s="241">
        <v>2552484</v>
      </c>
      <c r="F521" s="242">
        <f>SUM(F522:F539)</f>
        <v>0</v>
      </c>
      <c r="G521" s="242">
        <f t="shared" ref="G521:H521" si="47">SUM(G522:G539)</f>
        <v>0</v>
      </c>
      <c r="H521" s="242">
        <f t="shared" si="47"/>
        <v>0</v>
      </c>
      <c r="I521" s="243">
        <f t="shared" si="41"/>
        <v>2552484</v>
      </c>
      <c r="J521" s="244">
        <f>SUM(J522:J539)</f>
        <v>836600</v>
      </c>
      <c r="K521" s="245">
        <f>I521-J521</f>
        <v>1715884</v>
      </c>
    </row>
    <row r="522" spans="2:11" x14ac:dyDescent="0.2">
      <c r="B522" s="301">
        <v>43129</v>
      </c>
      <c r="C522" s="148"/>
      <c r="D522" s="148" t="s">
        <v>183</v>
      </c>
      <c r="E522" s="215"/>
      <c r="F522" s="216"/>
      <c r="G522" s="99"/>
      <c r="H522" s="100"/>
      <c r="I522" s="129"/>
      <c r="J522" s="111">
        <v>225200</v>
      </c>
      <c r="K522" s="231"/>
    </row>
    <row r="523" spans="2:11" x14ac:dyDescent="0.2">
      <c r="B523" s="301">
        <v>43157</v>
      </c>
      <c r="C523" s="148"/>
      <c r="D523" s="148" t="s">
        <v>200</v>
      </c>
      <c r="E523" s="215"/>
      <c r="F523" s="216"/>
      <c r="G523" s="99"/>
      <c r="H523" s="100"/>
      <c r="I523" s="129"/>
      <c r="J523" s="111">
        <v>211000</v>
      </c>
      <c r="K523" s="231"/>
    </row>
    <row r="524" spans="2:11" x14ac:dyDescent="0.2">
      <c r="B524" s="301">
        <v>43181</v>
      </c>
      <c r="C524" s="148"/>
      <c r="D524" s="148" t="s">
        <v>127</v>
      </c>
      <c r="E524" s="215"/>
      <c r="F524" s="216"/>
      <c r="G524" s="99"/>
      <c r="H524" s="100"/>
      <c r="I524" s="129"/>
      <c r="J524" s="111">
        <v>235100</v>
      </c>
      <c r="K524" s="231"/>
    </row>
    <row r="525" spans="2:11" x14ac:dyDescent="0.2">
      <c r="B525" s="301">
        <v>43214</v>
      </c>
      <c r="C525" s="148"/>
      <c r="D525" s="148" t="s">
        <v>128</v>
      </c>
      <c r="E525" s="215"/>
      <c r="F525" s="216"/>
      <c r="G525" s="99"/>
      <c r="H525" s="100"/>
      <c r="I525" s="129"/>
      <c r="J525" s="111">
        <v>165300</v>
      </c>
      <c r="K525" s="231"/>
    </row>
    <row r="526" spans="2:11" x14ac:dyDescent="0.2">
      <c r="B526" s="230"/>
      <c r="C526" s="148"/>
      <c r="D526" s="148"/>
      <c r="E526" s="215"/>
      <c r="F526" s="216"/>
      <c r="G526" s="99"/>
      <c r="H526" s="100"/>
      <c r="I526" s="129"/>
      <c r="J526" s="111"/>
      <c r="K526" s="231"/>
    </row>
    <row r="527" spans="2:11" x14ac:dyDescent="0.2">
      <c r="B527" s="230"/>
      <c r="C527" s="148"/>
      <c r="D527" s="148"/>
      <c r="E527" s="215"/>
      <c r="F527" s="216"/>
      <c r="G527" s="99"/>
      <c r="H527" s="100"/>
      <c r="I527" s="129"/>
      <c r="J527" s="111"/>
      <c r="K527" s="231"/>
    </row>
    <row r="528" spans="2:11" x14ac:dyDescent="0.2">
      <c r="B528" s="230"/>
      <c r="C528" s="148"/>
      <c r="D528" s="148"/>
      <c r="E528" s="215"/>
      <c r="F528" s="216"/>
      <c r="G528" s="99"/>
      <c r="H528" s="100"/>
      <c r="I528" s="129"/>
      <c r="J528" s="111"/>
      <c r="K528" s="231"/>
    </row>
    <row r="529" spans="2:11" x14ac:dyDescent="0.2">
      <c r="B529" s="230"/>
      <c r="C529" s="148"/>
      <c r="D529" s="148"/>
      <c r="E529" s="215"/>
      <c r="F529" s="216"/>
      <c r="G529" s="99"/>
      <c r="H529" s="100"/>
      <c r="I529" s="129"/>
      <c r="J529" s="111"/>
      <c r="K529" s="231"/>
    </row>
    <row r="530" spans="2:11" x14ac:dyDescent="0.2">
      <c r="B530" s="230"/>
      <c r="C530" s="148"/>
      <c r="D530" s="148"/>
      <c r="E530" s="215"/>
      <c r="F530" s="216"/>
      <c r="G530" s="99"/>
      <c r="H530" s="100"/>
      <c r="I530" s="129"/>
      <c r="J530" s="111"/>
      <c r="K530" s="231"/>
    </row>
    <row r="531" spans="2:11" x14ac:dyDescent="0.2">
      <c r="B531" s="230"/>
      <c r="C531" s="148"/>
      <c r="D531" s="148"/>
      <c r="E531" s="215"/>
      <c r="F531" s="216"/>
      <c r="G531" s="99"/>
      <c r="H531" s="100"/>
      <c r="I531" s="129"/>
      <c r="J531" s="111"/>
      <c r="K531" s="231"/>
    </row>
    <row r="532" spans="2:11" x14ac:dyDescent="0.2">
      <c r="B532" s="230"/>
      <c r="C532" s="148"/>
      <c r="D532" s="148"/>
      <c r="E532" s="215"/>
      <c r="F532" s="216"/>
      <c r="G532" s="99"/>
      <c r="H532" s="100"/>
      <c r="I532" s="129"/>
      <c r="J532" s="111"/>
      <c r="K532" s="231"/>
    </row>
    <row r="533" spans="2:11" x14ac:dyDescent="0.2">
      <c r="B533" s="230"/>
      <c r="C533" s="148"/>
      <c r="D533" s="148"/>
      <c r="E533" s="215"/>
      <c r="F533" s="216"/>
      <c r="G533" s="99"/>
      <c r="H533" s="100"/>
      <c r="I533" s="129"/>
      <c r="J533" s="111"/>
      <c r="K533" s="231"/>
    </row>
    <row r="534" spans="2:11" x14ac:dyDescent="0.2">
      <c r="B534" s="230"/>
      <c r="C534" s="148"/>
      <c r="D534" s="148"/>
      <c r="E534" s="215"/>
      <c r="F534" s="216"/>
      <c r="G534" s="99"/>
      <c r="H534" s="100"/>
      <c r="I534" s="129"/>
      <c r="J534" s="111"/>
      <c r="K534" s="231"/>
    </row>
    <row r="535" spans="2:11" x14ac:dyDescent="0.2">
      <c r="B535" s="230"/>
      <c r="C535" s="148"/>
      <c r="D535" s="148"/>
      <c r="E535" s="215"/>
      <c r="F535" s="216"/>
      <c r="G535" s="99"/>
      <c r="H535" s="100"/>
      <c r="I535" s="129"/>
      <c r="J535" s="111"/>
      <c r="K535" s="231"/>
    </row>
    <row r="536" spans="2:11" x14ac:dyDescent="0.2">
      <c r="B536" s="230"/>
      <c r="C536" s="148"/>
      <c r="D536" s="148"/>
      <c r="E536" s="215"/>
      <c r="F536" s="216"/>
      <c r="G536" s="99"/>
      <c r="H536" s="100"/>
      <c r="I536" s="129"/>
      <c r="J536" s="111"/>
      <c r="K536" s="231"/>
    </row>
    <row r="537" spans="2:11" x14ac:dyDescent="0.2">
      <c r="B537" s="230"/>
      <c r="C537" s="148"/>
      <c r="D537" s="148"/>
      <c r="E537" s="215"/>
      <c r="F537" s="216"/>
      <c r="G537" s="99"/>
      <c r="H537" s="100"/>
      <c r="I537" s="129"/>
      <c r="J537" s="111"/>
      <c r="K537" s="231"/>
    </row>
    <row r="538" spans="2:11" x14ac:dyDescent="0.2">
      <c r="B538" s="230"/>
      <c r="C538" s="148"/>
      <c r="D538" s="148"/>
      <c r="E538" s="215"/>
      <c r="F538" s="216"/>
      <c r="G538" s="99"/>
      <c r="H538" s="100"/>
      <c r="I538" s="129"/>
      <c r="J538" s="111"/>
      <c r="K538" s="231"/>
    </row>
    <row r="539" spans="2:11" x14ac:dyDescent="0.2">
      <c r="B539" s="230"/>
      <c r="C539" s="148"/>
      <c r="D539" s="148"/>
      <c r="E539" s="215"/>
      <c r="F539" s="216"/>
      <c r="G539" s="99"/>
      <c r="H539" s="100"/>
      <c r="I539" s="129"/>
      <c r="J539" s="111"/>
      <c r="K539" s="231"/>
    </row>
    <row r="540" spans="2:11" ht="15.75" x14ac:dyDescent="0.25">
      <c r="B540" s="238"/>
      <c r="C540" s="239" t="s">
        <v>109</v>
      </c>
      <c r="D540" s="239" t="s">
        <v>110</v>
      </c>
      <c r="E540" s="241">
        <v>5104968</v>
      </c>
      <c r="F540" s="242">
        <f>SUM(F541:F549)</f>
        <v>0</v>
      </c>
      <c r="G540" s="242">
        <f t="shared" ref="G540:H540" si="48">SUM(G541:G549)</f>
        <v>0</v>
      </c>
      <c r="H540" s="242">
        <f t="shared" si="48"/>
        <v>0</v>
      </c>
      <c r="I540" s="243">
        <f t="shared" si="41"/>
        <v>5104968</v>
      </c>
      <c r="J540" s="244">
        <f>SUM(J541:J549)</f>
        <v>1671100</v>
      </c>
      <c r="K540" s="245">
        <f>I540-J540</f>
        <v>3433868</v>
      </c>
    </row>
    <row r="541" spans="2:11" x14ac:dyDescent="0.2">
      <c r="B541" s="301">
        <v>43129</v>
      </c>
      <c r="C541" s="148"/>
      <c r="D541" s="148" t="s">
        <v>183</v>
      </c>
      <c r="E541" s="215"/>
      <c r="F541" s="216"/>
      <c r="G541" s="99"/>
      <c r="H541" s="100"/>
      <c r="I541" s="129"/>
      <c r="J541" s="111">
        <v>449900</v>
      </c>
      <c r="K541" s="231"/>
    </row>
    <row r="542" spans="2:11" x14ac:dyDescent="0.2">
      <c r="B542" s="301">
        <v>43157</v>
      </c>
      <c r="C542" s="148"/>
      <c r="D542" s="148" t="s">
        <v>200</v>
      </c>
      <c r="E542" s="215"/>
      <c r="F542" s="216"/>
      <c r="G542" s="99"/>
      <c r="H542" s="100"/>
      <c r="I542" s="129"/>
      <c r="J542" s="111">
        <v>421500</v>
      </c>
      <c r="K542" s="231"/>
    </row>
    <row r="543" spans="2:11" x14ac:dyDescent="0.2">
      <c r="B543" s="301">
        <v>43181</v>
      </c>
      <c r="C543" s="148"/>
      <c r="D543" s="148" t="s">
        <v>127</v>
      </c>
      <c r="E543" s="215"/>
      <c r="F543" s="216"/>
      <c r="G543" s="99"/>
      <c r="H543" s="100"/>
      <c r="I543" s="129"/>
      <c r="J543" s="111">
        <v>469600</v>
      </c>
      <c r="K543" s="231"/>
    </row>
    <row r="544" spans="2:11" x14ac:dyDescent="0.2">
      <c r="B544" s="301">
        <v>43215</v>
      </c>
      <c r="C544" s="148"/>
      <c r="D544" s="148" t="s">
        <v>128</v>
      </c>
      <c r="E544" s="215"/>
      <c r="F544" s="216"/>
      <c r="G544" s="99"/>
      <c r="H544" s="100"/>
      <c r="I544" s="129"/>
      <c r="J544" s="111">
        <v>330100</v>
      </c>
      <c r="K544" s="231"/>
    </row>
    <row r="545" spans="2:11" x14ac:dyDescent="0.2">
      <c r="B545" s="230"/>
      <c r="C545" s="148"/>
      <c r="D545" s="148"/>
      <c r="E545" s="215"/>
      <c r="F545" s="216"/>
      <c r="G545" s="99"/>
      <c r="H545" s="100"/>
      <c r="I545" s="129"/>
      <c r="J545" s="111"/>
      <c r="K545" s="231"/>
    </row>
    <row r="546" spans="2:11" x14ac:dyDescent="0.2">
      <c r="B546" s="230"/>
      <c r="C546" s="148"/>
      <c r="D546" s="148"/>
      <c r="E546" s="215"/>
      <c r="F546" s="216"/>
      <c r="G546" s="99"/>
      <c r="H546" s="100"/>
      <c r="I546" s="129"/>
      <c r="J546" s="111"/>
      <c r="K546" s="231"/>
    </row>
    <row r="547" spans="2:11" x14ac:dyDescent="0.2">
      <c r="B547" s="230"/>
      <c r="C547" s="148"/>
      <c r="D547" s="148"/>
      <c r="E547" s="215"/>
      <c r="F547" s="216"/>
      <c r="G547" s="99"/>
      <c r="H547" s="100"/>
      <c r="I547" s="129"/>
      <c r="J547" s="111"/>
      <c r="K547" s="231"/>
    </row>
    <row r="548" spans="2:11" x14ac:dyDescent="0.2">
      <c r="B548" s="230"/>
      <c r="C548" s="148"/>
      <c r="D548" s="148"/>
      <c r="E548" s="215"/>
      <c r="F548" s="216"/>
      <c r="G548" s="99"/>
      <c r="H548" s="100"/>
      <c r="I548" s="129"/>
      <c r="J548" s="111"/>
      <c r="K548" s="231"/>
    </row>
    <row r="549" spans="2:11" x14ac:dyDescent="0.2">
      <c r="B549" s="230"/>
      <c r="C549" s="148"/>
      <c r="D549" s="148"/>
      <c r="E549" s="215"/>
      <c r="F549" s="216"/>
      <c r="G549" s="99"/>
      <c r="H549" s="100"/>
      <c r="I549" s="129"/>
      <c r="J549" s="111"/>
      <c r="K549" s="231"/>
    </row>
    <row r="550" spans="2:11" ht="15.75" x14ac:dyDescent="0.25">
      <c r="B550" s="238"/>
      <c r="C550" s="239" t="s">
        <v>111</v>
      </c>
      <c r="D550" s="239" t="s">
        <v>112</v>
      </c>
      <c r="E550" s="241">
        <v>0</v>
      </c>
      <c r="F550" s="243">
        <f>SUM(F551:F558)</f>
        <v>0</v>
      </c>
      <c r="G550" s="243">
        <f>SUM(G551:G558)</f>
        <v>0</v>
      </c>
      <c r="H550" s="243">
        <f>SUM(H551:H558)</f>
        <v>0</v>
      </c>
      <c r="I550" s="243">
        <f t="shared" si="41"/>
        <v>0</v>
      </c>
      <c r="J550" s="316">
        <f>E550+F550+G550-H550</f>
        <v>0</v>
      </c>
      <c r="K550" s="317">
        <f>I550-J550</f>
        <v>0</v>
      </c>
    </row>
    <row r="551" spans="2:11" x14ac:dyDescent="0.2">
      <c r="B551" s="230"/>
      <c r="C551" s="148"/>
      <c r="D551" s="148"/>
      <c r="E551" s="215"/>
      <c r="F551" s="216"/>
      <c r="G551" s="99"/>
      <c r="H551" s="100"/>
      <c r="I551" s="129"/>
      <c r="J551" s="214"/>
      <c r="K551" s="231"/>
    </row>
    <row r="552" spans="2:11" x14ac:dyDescent="0.2">
      <c r="B552" s="230"/>
      <c r="C552" s="148"/>
      <c r="D552" s="148"/>
      <c r="E552" s="215"/>
      <c r="F552" s="216"/>
      <c r="G552" s="99"/>
      <c r="H552" s="100"/>
      <c r="I552" s="129"/>
      <c r="J552" s="214"/>
      <c r="K552" s="231"/>
    </row>
    <row r="553" spans="2:11" x14ac:dyDescent="0.2">
      <c r="B553" s="230"/>
      <c r="C553" s="148"/>
      <c r="D553" s="148"/>
      <c r="E553" s="215"/>
      <c r="F553" s="216"/>
      <c r="G553" s="99"/>
      <c r="H553" s="100"/>
      <c r="I553" s="129"/>
      <c r="J553" s="214"/>
      <c r="K553" s="231"/>
    </row>
    <row r="554" spans="2:11" x14ac:dyDescent="0.2">
      <c r="B554" s="230"/>
      <c r="C554" s="148"/>
      <c r="D554" s="148"/>
      <c r="E554" s="215"/>
      <c r="F554" s="216"/>
      <c r="G554" s="99"/>
      <c r="H554" s="100"/>
      <c r="I554" s="129"/>
      <c r="J554" s="214"/>
      <c r="K554" s="231"/>
    </row>
    <row r="555" spans="2:11" x14ac:dyDescent="0.2">
      <c r="B555" s="230"/>
      <c r="C555" s="148"/>
      <c r="D555" s="148"/>
      <c r="E555" s="215"/>
      <c r="F555" s="216"/>
      <c r="G555" s="99"/>
      <c r="H555" s="100"/>
      <c r="I555" s="129"/>
      <c r="J555" s="214"/>
      <c r="K555" s="231"/>
    </row>
    <row r="556" spans="2:11" x14ac:dyDescent="0.2">
      <c r="B556" s="230"/>
      <c r="C556" s="148"/>
      <c r="D556" s="148"/>
      <c r="E556" s="215"/>
      <c r="F556" s="216"/>
      <c r="G556" s="99"/>
      <c r="H556" s="100"/>
      <c r="I556" s="129"/>
      <c r="J556" s="214"/>
      <c r="K556" s="231"/>
    </row>
    <row r="557" spans="2:11" x14ac:dyDescent="0.2">
      <c r="B557" s="230"/>
      <c r="C557" s="148"/>
      <c r="D557" s="148"/>
      <c r="E557" s="215"/>
      <c r="F557" s="216"/>
      <c r="G557" s="99"/>
      <c r="H557" s="100"/>
      <c r="I557" s="129"/>
      <c r="J557" s="214"/>
      <c r="K557" s="231"/>
    </row>
    <row r="558" spans="2:11" x14ac:dyDescent="0.2">
      <c r="B558" s="230"/>
      <c r="C558" s="148"/>
      <c r="D558" s="148"/>
      <c r="E558" s="215"/>
      <c r="F558" s="216"/>
      <c r="G558" s="99"/>
      <c r="H558" s="100"/>
      <c r="I558" s="129"/>
      <c r="J558" s="214"/>
      <c r="K558" s="231"/>
    </row>
    <row r="559" spans="2:11" ht="15.75" x14ac:dyDescent="0.25">
      <c r="B559" s="276"/>
      <c r="C559" s="289">
        <v>20201301</v>
      </c>
      <c r="D559" s="290" t="s">
        <v>116</v>
      </c>
      <c r="E559" s="291">
        <f>E560</f>
        <v>0</v>
      </c>
      <c r="F559" s="290">
        <f>F560</f>
        <v>0</v>
      </c>
      <c r="G559" s="290">
        <f t="shared" ref="G559:I559" si="49">G560</f>
        <v>0</v>
      </c>
      <c r="H559" s="290">
        <f t="shared" si="49"/>
        <v>0</v>
      </c>
      <c r="I559" s="290">
        <f t="shared" si="49"/>
        <v>0</v>
      </c>
      <c r="J559" s="292"/>
      <c r="K559" s="277"/>
    </row>
    <row r="560" spans="2:11" ht="15.75" x14ac:dyDescent="0.25">
      <c r="B560" s="238"/>
      <c r="C560" s="239">
        <v>2020130101</v>
      </c>
      <c r="D560" s="239" t="s">
        <v>165</v>
      </c>
      <c r="E560" s="243">
        <v>0</v>
      </c>
      <c r="F560" s="242">
        <f>SUM(F561:F565)</f>
        <v>0</v>
      </c>
      <c r="G560" s="242">
        <f t="shared" ref="G560:H560" si="50">SUM(G561:G565)</f>
        <v>0</v>
      </c>
      <c r="H560" s="242">
        <f t="shared" si="50"/>
        <v>0</v>
      </c>
      <c r="I560" s="327">
        <f t="shared" si="21"/>
        <v>0</v>
      </c>
      <c r="J560" s="315">
        <f>SUM(J561:J565)</f>
        <v>0</v>
      </c>
      <c r="K560" s="317">
        <f>I560-J560</f>
        <v>0</v>
      </c>
    </row>
    <row r="561" spans="2:13" x14ac:dyDescent="0.2">
      <c r="B561" s="318"/>
      <c r="C561" s="319"/>
      <c r="D561" s="319"/>
      <c r="E561" s="320"/>
      <c r="F561" s="321"/>
      <c r="G561" s="322"/>
      <c r="H561" s="323"/>
      <c r="I561" s="324"/>
      <c r="J561" s="325"/>
      <c r="K561" s="326"/>
    </row>
    <row r="562" spans="2:13" x14ac:dyDescent="0.2">
      <c r="B562" s="318"/>
      <c r="C562" s="319"/>
      <c r="D562" s="319"/>
      <c r="E562" s="320"/>
      <c r="F562" s="321"/>
      <c r="G562" s="322"/>
      <c r="H562" s="323"/>
      <c r="I562" s="324"/>
      <c r="J562" s="325"/>
      <c r="K562" s="326"/>
    </row>
    <row r="563" spans="2:13" x14ac:dyDescent="0.2">
      <c r="B563" s="318"/>
      <c r="C563" s="319"/>
      <c r="D563" s="319"/>
      <c r="E563" s="320"/>
      <c r="F563" s="321"/>
      <c r="G563" s="322"/>
      <c r="H563" s="323"/>
      <c r="I563" s="324"/>
      <c r="J563" s="325"/>
      <c r="K563" s="326"/>
    </row>
    <row r="564" spans="2:13" x14ac:dyDescent="0.2">
      <c r="B564" s="318"/>
      <c r="C564" s="319"/>
      <c r="D564" s="319"/>
      <c r="E564" s="320"/>
      <c r="F564" s="321"/>
      <c r="G564" s="322"/>
      <c r="H564" s="323"/>
      <c r="I564" s="324"/>
      <c r="J564" s="325"/>
      <c r="K564" s="326"/>
    </row>
    <row r="565" spans="2:13" ht="18" x14ac:dyDescent="0.25">
      <c r="B565" s="318"/>
      <c r="C565" s="319"/>
      <c r="D565" s="319"/>
      <c r="E565" s="335"/>
      <c r="F565" s="336"/>
      <c r="G565" s="337"/>
      <c r="H565" s="338"/>
      <c r="I565" s="339"/>
      <c r="J565" s="340"/>
      <c r="K565" s="341"/>
    </row>
    <row r="566" spans="2:13" ht="18.75" thickBot="1" x14ac:dyDescent="0.3">
      <c r="B566" s="274"/>
      <c r="C566" s="275"/>
      <c r="D566" s="275" t="s">
        <v>157</v>
      </c>
      <c r="E566" s="342">
        <f>E438+E400+E164+E128+E109+E3+E559</f>
        <v>973593065.91321981</v>
      </c>
      <c r="F566" s="342">
        <f>F438+F400+F164+F128+F109+F3+F559</f>
        <v>169610765</v>
      </c>
      <c r="G566" s="342">
        <f>G438+G400+G164+G128+G109+G3</f>
        <v>29281983</v>
      </c>
      <c r="H566" s="342">
        <f>H438+H400+H164+H128+H109+H3</f>
        <v>29281983</v>
      </c>
      <c r="I566" s="342">
        <f>E566+F566</f>
        <v>1143203830.9132199</v>
      </c>
      <c r="J566" s="342">
        <f>J559+J550+J521+J507+J491+J478+J466+J454+J450+J439+J431+J419+J411+J401+J382+J379+J377+J372+J367+J360+J350+J341+J337+J326+J304+J278+J263+J243+J186+J165+J154+J140+J129+J110+J101+J86+J71+J63+J50+J36+J21+J4+J540</f>
        <v>348947722</v>
      </c>
      <c r="K566" s="343">
        <f>I566-J566</f>
        <v>794256108.91321993</v>
      </c>
      <c r="M566" s="334"/>
    </row>
    <row r="569" spans="2:13" x14ac:dyDescent="0.2">
      <c r="I569" s="116"/>
    </row>
    <row r="570" spans="2:13" x14ac:dyDescent="0.2">
      <c r="J570" s="334"/>
    </row>
    <row r="571" spans="2:13" x14ac:dyDescent="0.2">
      <c r="I571" s="116"/>
    </row>
    <row r="574" spans="2:13" x14ac:dyDescent="0.2">
      <c r="I574" s="116"/>
    </row>
  </sheetData>
  <autoFilter ref="A186:K221"/>
  <printOptions horizontalCentered="1" verticalCentered="1"/>
  <pageMargins left="0.19685039370078741" right="0.31496062992125984" top="0.15748031496062992" bottom="0.59055118110236227" header="0" footer="0.39370078740157483"/>
  <pageSetup paperSize="14"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tabSelected="1" zoomScale="90" zoomScaleNormal="90" zoomScaleSheetLayoutView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11" sqref="A11:XFD11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16" style="1" hidden="1" customWidth="1"/>
    <col min="12" max="12" width="6" style="1" bestFit="1" customWidth="1"/>
    <col min="13" max="13" width="17.375" style="39" customWidth="1"/>
    <col min="14" max="14" width="16.25" style="1" bestFit="1" customWidth="1"/>
    <col min="15" max="15" width="8.5" style="1" customWidth="1"/>
    <col min="16" max="16" width="11" style="1"/>
    <col min="17" max="17" width="10.125" style="1" bestFit="1" customWidth="1"/>
    <col min="18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5" ht="18" x14ac:dyDescent="0.2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</row>
    <row r="2" spans="1:15" ht="18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5" ht="18" x14ac:dyDescent="0.25">
      <c r="A3" s="366" t="s">
        <v>220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5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4"/>
      <c r="M4" s="5"/>
      <c r="N4" s="4"/>
      <c r="O4" s="3"/>
    </row>
    <row r="5" spans="1:15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7" t="s">
        <v>12</v>
      </c>
      <c r="L5" s="367" t="s">
        <v>13</v>
      </c>
      <c r="M5" s="50" t="s">
        <v>9</v>
      </c>
      <c r="N5" s="47" t="s">
        <v>14</v>
      </c>
      <c r="O5" s="51" t="s">
        <v>13</v>
      </c>
    </row>
    <row r="6" spans="1:15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54" t="s">
        <v>18</v>
      </c>
      <c r="L6" s="368"/>
      <c r="M6" s="58" t="s">
        <v>18</v>
      </c>
      <c r="N6" s="54" t="s">
        <v>19</v>
      </c>
      <c r="O6" s="59"/>
    </row>
    <row r="7" spans="1:15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9"/>
      <c r="M7" s="12"/>
      <c r="N7" s="13"/>
      <c r="O7" s="14"/>
    </row>
    <row r="8" spans="1:15" s="74" customFormat="1" ht="27.75" customHeight="1" x14ac:dyDescent="0.2">
      <c r="A8" s="63" t="s">
        <v>20</v>
      </c>
      <c r="B8" s="73" t="s">
        <v>21</v>
      </c>
      <c r="C8" s="65">
        <f t="shared" ref="C8:H8" si="0">SUM(C9:C17)</f>
        <v>657894826.91321981</v>
      </c>
      <c r="D8" s="65">
        <f t="shared" si="0"/>
        <v>0</v>
      </c>
      <c r="E8" s="65">
        <f t="shared" si="0"/>
        <v>27610765</v>
      </c>
      <c r="F8" s="65">
        <f t="shared" si="0"/>
        <v>0</v>
      </c>
      <c r="G8" s="65">
        <f t="shared" si="0"/>
        <v>29281983</v>
      </c>
      <c r="H8" s="65">
        <f t="shared" si="0"/>
        <v>656223608.91321981</v>
      </c>
      <c r="I8" s="65">
        <f>I9+I10+I11+I12+I13+I14+I15+I16+I17</f>
        <v>81406055</v>
      </c>
      <c r="J8" s="65">
        <f>SUM(J9:J17)</f>
        <v>47122283</v>
      </c>
      <c r="K8" s="65">
        <f>K9+K10+K11+K12+K13+K14+K15+K16+K17</f>
        <v>128528338</v>
      </c>
      <c r="L8" s="66">
        <f t="shared" ref="L8:L64" si="1">K8/H8</f>
        <v>0.1958605820550367</v>
      </c>
      <c r="M8" s="67">
        <f>I8+J8</f>
        <v>128528338</v>
      </c>
      <c r="N8" s="65">
        <f>SUM(N9:N17)</f>
        <v>527695270.91321969</v>
      </c>
      <c r="O8" s="68">
        <f t="shared" ref="O8:O32" si="2">N8/H8</f>
        <v>0.80413941794496313</v>
      </c>
    </row>
    <row r="9" spans="1:15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46"/>
      <c r="E9" s="22">
        <v>27610765</v>
      </c>
      <c r="F9" s="34"/>
      <c r="G9" s="60">
        <f>28650007+'LIBRO DE PRESUPUESTO'!H9</f>
        <v>29281983</v>
      </c>
      <c r="H9" s="20">
        <f>C9-D9+E9+F9-G9</f>
        <v>508825346.20000005</v>
      </c>
      <c r="I9" s="21">
        <f>FEBRERO!I9+FEBRERO!J9</f>
        <v>72830255</v>
      </c>
      <c r="J9" s="41">
        <f>'LIBRO DE PRESUPUESTO'!J10</f>
        <v>46905281</v>
      </c>
      <c r="K9" s="20">
        <f>SUM(I9:J9)</f>
        <v>119735536</v>
      </c>
      <c r="L9" s="15">
        <f t="shared" si="1"/>
        <v>0.23531755423389714</v>
      </c>
      <c r="M9" s="23">
        <f>J9+I9</f>
        <v>119735536</v>
      </c>
      <c r="N9" s="24">
        <f t="shared" ref="N9:N17" si="3">H9-K9</f>
        <v>389089810.20000005</v>
      </c>
      <c r="O9" s="17">
        <f t="shared" si="2"/>
        <v>0.76468244576610289</v>
      </c>
    </row>
    <row r="10" spans="1:15" ht="15" x14ac:dyDescent="0.25">
      <c r="A10" s="18" t="s">
        <v>24</v>
      </c>
      <c r="B10" s="19" t="s">
        <v>25</v>
      </c>
      <c r="C10" s="215">
        <v>0</v>
      </c>
      <c r="D10" s="346"/>
      <c r="E10" s="22"/>
      <c r="F10" s="34"/>
      <c r="G10" s="61"/>
      <c r="H10" s="20">
        <f t="shared" ref="H10:H21" si="4">C10-D10+E10+F10-G10</f>
        <v>0</v>
      </c>
      <c r="I10" s="21">
        <f>FEBRERO!I10+FEBRERO!J10</f>
        <v>0</v>
      </c>
      <c r="J10" s="21">
        <v>0</v>
      </c>
      <c r="K10" s="20">
        <f t="shared" ref="K10:K21" si="5">SUM(I10:J10)</f>
        <v>0</v>
      </c>
      <c r="L10" s="15">
        <v>0</v>
      </c>
      <c r="M10" s="23">
        <f t="shared" ref="M10:M63" si="6">J10+I10</f>
        <v>0</v>
      </c>
      <c r="N10" s="24">
        <f t="shared" si="3"/>
        <v>0</v>
      </c>
      <c r="O10" s="17">
        <v>0</v>
      </c>
    </row>
    <row r="11" spans="1:15" ht="15" x14ac:dyDescent="0.25">
      <c r="A11" s="18" t="s">
        <v>26</v>
      </c>
      <c r="B11" s="19" t="s">
        <v>27</v>
      </c>
      <c r="C11" s="215">
        <v>1077494.3999999999</v>
      </c>
      <c r="D11" s="346"/>
      <c r="E11" s="22"/>
      <c r="F11" s="34"/>
      <c r="G11" s="61"/>
      <c r="H11" s="20">
        <f t="shared" si="4"/>
        <v>1077494.3999999999</v>
      </c>
      <c r="I11" s="21">
        <f>FEBRERO!I11+FEBRERO!J11</f>
        <v>138567</v>
      </c>
      <c r="J11" s="21">
        <f>'LIBRO DE PRESUPUESTO'!J25</f>
        <v>96662</v>
      </c>
      <c r="K11" s="20">
        <f t="shared" si="5"/>
        <v>235229</v>
      </c>
      <c r="L11" s="15">
        <f t="shared" si="1"/>
        <v>0.21831111140809642</v>
      </c>
      <c r="M11" s="23">
        <f t="shared" si="6"/>
        <v>235229</v>
      </c>
      <c r="N11" s="24">
        <f t="shared" si="3"/>
        <v>842265.39999999991</v>
      </c>
      <c r="O11" s="17">
        <f t="shared" si="2"/>
        <v>0.78168888859190355</v>
      </c>
    </row>
    <row r="12" spans="1:15" ht="15.75" customHeight="1" x14ac:dyDescent="0.25">
      <c r="A12" s="18" t="s">
        <v>28</v>
      </c>
      <c r="B12" s="19" t="s">
        <v>29</v>
      </c>
      <c r="C12" s="215">
        <v>1484049.6</v>
      </c>
      <c r="D12" s="346"/>
      <c r="E12" s="22"/>
      <c r="F12" s="34"/>
      <c r="G12" s="61"/>
      <c r="H12" s="20">
        <f t="shared" si="4"/>
        <v>1484049.6</v>
      </c>
      <c r="I12" s="21">
        <f>FEBRERO!I12+FEBRERO!J12</f>
        <v>188532</v>
      </c>
      <c r="J12" s="21">
        <f>'LIBRO DE PRESUPUESTO'!J40</f>
        <v>120340</v>
      </c>
      <c r="K12" s="20">
        <f t="shared" si="5"/>
        <v>308872</v>
      </c>
      <c r="L12" s="15">
        <f t="shared" si="1"/>
        <v>0.2081278145959542</v>
      </c>
      <c r="M12" s="23">
        <f t="shared" si="6"/>
        <v>308872</v>
      </c>
      <c r="N12" s="24">
        <f t="shared" si="3"/>
        <v>1175177.6000000001</v>
      </c>
      <c r="O12" s="17">
        <f t="shared" si="2"/>
        <v>0.7918721854040458</v>
      </c>
    </row>
    <row r="13" spans="1:15" ht="15" x14ac:dyDescent="0.25">
      <c r="A13" s="18" t="s">
        <v>30</v>
      </c>
      <c r="B13" s="19" t="s">
        <v>31</v>
      </c>
      <c r="C13" s="215">
        <v>15036740.388045937</v>
      </c>
      <c r="D13" s="346"/>
      <c r="E13" s="22"/>
      <c r="F13" s="34"/>
      <c r="G13" s="61"/>
      <c r="H13" s="20">
        <f t="shared" si="4"/>
        <v>15036740.388045937</v>
      </c>
      <c r="I13" s="21">
        <f>FEBRERO!I13+FEBRERO!J13</f>
        <v>2705473</v>
      </c>
      <c r="J13" s="41">
        <v>0</v>
      </c>
      <c r="K13" s="20">
        <f t="shared" si="5"/>
        <v>2705473</v>
      </c>
      <c r="L13" s="15">
        <f t="shared" si="1"/>
        <v>0.17992416775053355</v>
      </c>
      <c r="M13" s="23">
        <f t="shared" si="6"/>
        <v>2705473</v>
      </c>
      <c r="N13" s="24">
        <f t="shared" si="3"/>
        <v>12331267.388045937</v>
      </c>
      <c r="O13" s="17">
        <f t="shared" si="2"/>
        <v>0.82007583224946645</v>
      </c>
    </row>
    <row r="14" spans="1:15" ht="15" x14ac:dyDescent="0.25">
      <c r="A14" s="18" t="s">
        <v>32</v>
      </c>
      <c r="B14" s="19" t="s">
        <v>33</v>
      </c>
      <c r="C14" s="215">
        <v>22003952.024810392</v>
      </c>
      <c r="D14" s="346"/>
      <c r="E14" s="22"/>
      <c r="F14" s="34"/>
      <c r="G14" s="61"/>
      <c r="H14" s="20">
        <f t="shared" si="4"/>
        <v>22003952.024810392</v>
      </c>
      <c r="I14" s="21">
        <f>FEBRERO!I14+FEBRERO!J14</f>
        <v>0</v>
      </c>
      <c r="J14" s="42"/>
      <c r="K14" s="20">
        <f t="shared" si="5"/>
        <v>0</v>
      </c>
      <c r="L14" s="15">
        <f t="shared" si="1"/>
        <v>0</v>
      </c>
      <c r="M14" s="23">
        <f t="shared" si="6"/>
        <v>0</v>
      </c>
      <c r="N14" s="24">
        <f t="shared" si="3"/>
        <v>22003952.024810392</v>
      </c>
      <c r="O14" s="17">
        <f t="shared" si="2"/>
        <v>1</v>
      </c>
    </row>
    <row r="15" spans="1:15" ht="15" x14ac:dyDescent="0.25">
      <c r="A15" s="18" t="s">
        <v>34</v>
      </c>
      <c r="B15" s="19" t="s">
        <v>35</v>
      </c>
      <c r="C15" s="215">
        <v>22920783.359177493</v>
      </c>
      <c r="D15" s="346"/>
      <c r="E15" s="22"/>
      <c r="F15" s="34"/>
      <c r="G15" s="61"/>
      <c r="H15" s="20">
        <f t="shared" si="4"/>
        <v>22920783.359177493</v>
      </c>
      <c r="I15" s="21">
        <f>FEBRERO!I15+FEBRERO!J15</f>
        <v>5543228</v>
      </c>
      <c r="J15" s="41">
        <v>0</v>
      </c>
      <c r="K15" s="20">
        <f t="shared" si="5"/>
        <v>5543228</v>
      </c>
      <c r="L15" s="15">
        <f t="shared" si="1"/>
        <v>0.24184286868103436</v>
      </c>
      <c r="M15" s="23">
        <f t="shared" si="6"/>
        <v>5543228</v>
      </c>
      <c r="N15" s="24">
        <f t="shared" si="3"/>
        <v>17377555.359177493</v>
      </c>
      <c r="O15" s="17">
        <f t="shared" si="2"/>
        <v>0.75815713131896567</v>
      </c>
    </row>
    <row r="16" spans="1:15" ht="15" x14ac:dyDescent="0.25">
      <c r="A16" s="26">
        <v>2020110109</v>
      </c>
      <c r="B16" s="19" t="s">
        <v>36</v>
      </c>
      <c r="C16" s="215">
        <v>37123610.942899451</v>
      </c>
      <c r="D16" s="346"/>
      <c r="E16" s="22"/>
      <c r="F16" s="34"/>
      <c r="G16" s="61"/>
      <c r="H16" s="20">
        <f t="shared" si="4"/>
        <v>37123610.942899451</v>
      </c>
      <c r="I16" s="21">
        <f>FEBRERO!I16+FEBRERO!J16</f>
        <v>0</v>
      </c>
      <c r="J16" s="41"/>
      <c r="K16" s="20">
        <f>SUM(I16:J16)</f>
        <v>0</v>
      </c>
      <c r="L16" s="15">
        <f t="shared" si="1"/>
        <v>0</v>
      </c>
      <c r="M16" s="23">
        <f t="shared" si="6"/>
        <v>0</v>
      </c>
      <c r="N16" s="24">
        <f t="shared" si="3"/>
        <v>37123610.942899451</v>
      </c>
      <c r="O16" s="17">
        <f t="shared" si="2"/>
        <v>1</v>
      </c>
    </row>
    <row r="17" spans="1:15" ht="15" x14ac:dyDescent="0.25">
      <c r="A17" s="26">
        <v>2020110108</v>
      </c>
      <c r="B17" s="19" t="s">
        <v>37</v>
      </c>
      <c r="C17" s="215">
        <v>47751631.998286448</v>
      </c>
      <c r="D17" s="346"/>
      <c r="E17" s="22"/>
      <c r="F17" s="34"/>
      <c r="G17" s="61"/>
      <c r="H17" s="20">
        <f t="shared" si="4"/>
        <v>47751631.998286448</v>
      </c>
      <c r="I17" s="21">
        <f>FEBRERO!I17+FEBRERO!J17</f>
        <v>0</v>
      </c>
      <c r="J17" s="41"/>
      <c r="K17" s="20">
        <f t="shared" si="5"/>
        <v>0</v>
      </c>
      <c r="L17" s="15">
        <f t="shared" si="1"/>
        <v>0</v>
      </c>
      <c r="M17" s="23">
        <f t="shared" si="6"/>
        <v>0</v>
      </c>
      <c r="N17" s="24">
        <f t="shared" si="3"/>
        <v>47751631.998286448</v>
      </c>
      <c r="O17" s="17">
        <f t="shared" si="2"/>
        <v>1</v>
      </c>
    </row>
    <row r="18" spans="1:15" s="69" customFormat="1" ht="27.75" customHeight="1" x14ac:dyDescent="0.2">
      <c r="A18" s="63" t="s">
        <v>38</v>
      </c>
      <c r="B18" s="73" t="s">
        <v>39</v>
      </c>
      <c r="C18" s="65">
        <f t="shared" ref="C18:I18" si="7">SUM(C19:C21)</f>
        <v>12849993</v>
      </c>
      <c r="D18" s="65">
        <f t="shared" si="7"/>
        <v>0</v>
      </c>
      <c r="E18" s="65">
        <f t="shared" si="7"/>
        <v>0</v>
      </c>
      <c r="F18" s="65">
        <f t="shared" si="7"/>
        <v>27650007</v>
      </c>
      <c r="G18" s="65">
        <f t="shared" si="7"/>
        <v>0</v>
      </c>
      <c r="H18" s="65">
        <f t="shared" si="7"/>
        <v>40500000</v>
      </c>
      <c r="I18" s="65">
        <f t="shared" si="7"/>
        <v>34832100</v>
      </c>
      <c r="J18" s="65">
        <f>SUM(J19:J21)</f>
        <v>0</v>
      </c>
      <c r="K18" s="65">
        <f>K19+K20+K21</f>
        <v>34832100</v>
      </c>
      <c r="L18" s="66">
        <f t="shared" si="1"/>
        <v>0.86005185185185185</v>
      </c>
      <c r="M18" s="72">
        <f t="shared" si="6"/>
        <v>34832100</v>
      </c>
      <c r="N18" s="72">
        <f>SUM(N19:N21)</f>
        <v>5667900</v>
      </c>
      <c r="O18" s="68">
        <f t="shared" si="2"/>
        <v>0.13994814814814815</v>
      </c>
    </row>
    <row r="19" spans="1:15" ht="15" x14ac:dyDescent="0.25">
      <c r="A19" s="18" t="s">
        <v>40</v>
      </c>
      <c r="B19" s="28" t="s">
        <v>41</v>
      </c>
      <c r="C19" s="193">
        <f>2300000+10549993</f>
        <v>12849993</v>
      </c>
      <c r="D19" s="21"/>
      <c r="E19" s="22"/>
      <c r="F19" s="34">
        <v>27650007</v>
      </c>
      <c r="G19" s="61"/>
      <c r="H19" s="20">
        <f t="shared" si="4"/>
        <v>40500000</v>
      </c>
      <c r="I19" s="21">
        <f>FEBRERO!I19+FEBRERO!J19</f>
        <v>34832100</v>
      </c>
      <c r="J19" s="21">
        <v>0</v>
      </c>
      <c r="K19" s="20">
        <f t="shared" si="5"/>
        <v>34832100</v>
      </c>
      <c r="L19" s="15">
        <f t="shared" si="1"/>
        <v>0.86005185185185185</v>
      </c>
      <c r="M19" s="23">
        <f t="shared" si="6"/>
        <v>34832100</v>
      </c>
      <c r="N19" s="24">
        <f>H19-K19</f>
        <v>5667900</v>
      </c>
      <c r="O19" s="17">
        <f>N19/H19</f>
        <v>0.13994814814814815</v>
      </c>
    </row>
    <row r="20" spans="1:15" ht="15" x14ac:dyDescent="0.25">
      <c r="A20" s="18" t="s">
        <v>42</v>
      </c>
      <c r="B20" s="19" t="s">
        <v>43</v>
      </c>
      <c r="C20" s="30"/>
      <c r="D20" s="21"/>
      <c r="E20" s="22"/>
      <c r="F20" s="34"/>
      <c r="G20" s="61"/>
      <c r="H20" s="20">
        <f t="shared" si="4"/>
        <v>0</v>
      </c>
      <c r="I20" s="21">
        <f>FEBRERO!I20+FEBRERO!J20</f>
        <v>0</v>
      </c>
      <c r="J20" s="21">
        <v>0</v>
      </c>
      <c r="K20" s="20">
        <f t="shared" si="5"/>
        <v>0</v>
      </c>
      <c r="L20" s="15">
        <v>0</v>
      </c>
      <c r="M20" s="23">
        <f t="shared" si="6"/>
        <v>0</v>
      </c>
      <c r="N20" s="24">
        <f>H20-K20</f>
        <v>0</v>
      </c>
      <c r="O20" s="17">
        <v>0</v>
      </c>
    </row>
    <row r="21" spans="1:15" ht="15" x14ac:dyDescent="0.25">
      <c r="A21" s="18" t="s">
        <v>44</v>
      </c>
      <c r="B21" s="31" t="s">
        <v>45</v>
      </c>
      <c r="C21" s="29"/>
      <c r="D21" s="21"/>
      <c r="E21" s="22"/>
      <c r="F21" s="34"/>
      <c r="G21" s="61"/>
      <c r="H21" s="20">
        <f t="shared" si="4"/>
        <v>0</v>
      </c>
      <c r="I21" s="21">
        <f>FEBRERO!I21+FEBRERO!J21</f>
        <v>0</v>
      </c>
      <c r="J21" s="25">
        <v>0</v>
      </c>
      <c r="K21" s="20">
        <f t="shared" si="5"/>
        <v>0</v>
      </c>
      <c r="L21" s="15">
        <v>0</v>
      </c>
      <c r="M21" s="23">
        <f t="shared" si="6"/>
        <v>0</v>
      </c>
      <c r="N21" s="24">
        <f>H21-K21</f>
        <v>0</v>
      </c>
      <c r="O21" s="17">
        <v>0</v>
      </c>
    </row>
    <row r="22" spans="1:15" s="69" customFormat="1" ht="27.75" customHeight="1" x14ac:dyDescent="0.2">
      <c r="A22" s="63" t="s">
        <v>46</v>
      </c>
      <c r="B22" s="64" t="s">
        <v>47</v>
      </c>
      <c r="C22" s="65">
        <f t="shared" ref="C22:J22" si="8">SUM(C23:C26)</f>
        <v>16200000</v>
      </c>
      <c r="D22" s="65">
        <f t="shared" si="8"/>
        <v>0</v>
      </c>
      <c r="E22" s="65">
        <f t="shared" si="8"/>
        <v>20000000</v>
      </c>
      <c r="F22" s="65">
        <f t="shared" si="8"/>
        <v>0</v>
      </c>
      <c r="G22" s="65">
        <f t="shared" si="8"/>
        <v>0</v>
      </c>
      <c r="H22" s="65">
        <f t="shared" si="8"/>
        <v>36200000</v>
      </c>
      <c r="I22" s="65">
        <f t="shared" si="8"/>
        <v>15994800</v>
      </c>
      <c r="J22" s="65">
        <f t="shared" si="8"/>
        <v>0</v>
      </c>
      <c r="K22" s="65">
        <f>K23+K24+K25+K26</f>
        <v>15994800</v>
      </c>
      <c r="L22" s="66">
        <f t="shared" si="1"/>
        <v>0.44184530386740334</v>
      </c>
      <c r="M22" s="72">
        <f t="shared" si="6"/>
        <v>15994800</v>
      </c>
      <c r="N22" s="65">
        <f>SUM(N23:N26)</f>
        <v>20205200</v>
      </c>
      <c r="O22" s="68">
        <f t="shared" si="2"/>
        <v>0.55815469613259672</v>
      </c>
    </row>
    <row r="23" spans="1:15" ht="15" x14ac:dyDescent="0.25">
      <c r="A23" s="18" t="s">
        <v>48</v>
      </c>
      <c r="B23" s="31" t="s">
        <v>49</v>
      </c>
      <c r="C23" s="193">
        <v>3000000</v>
      </c>
      <c r="D23" s="21"/>
      <c r="E23" s="22"/>
      <c r="F23" s="34"/>
      <c r="G23" s="61"/>
      <c r="H23" s="20">
        <f t="shared" ref="H23:H26" si="9">C23-D23+E23+F23-G23</f>
        <v>3000000</v>
      </c>
      <c r="I23" s="21">
        <f>FEBRERO!I23+FEBRERO!J23</f>
        <v>0</v>
      </c>
      <c r="J23" s="25">
        <v>0</v>
      </c>
      <c r="K23" s="20">
        <f t="shared" ref="K23:K60" si="10">SUM(I23:J23)</f>
        <v>0</v>
      </c>
      <c r="L23" s="15">
        <v>0</v>
      </c>
      <c r="M23" s="16">
        <f t="shared" si="6"/>
        <v>0</v>
      </c>
      <c r="N23" s="24">
        <f t="shared" ref="N23:N26" si="11">H23-K23</f>
        <v>3000000</v>
      </c>
      <c r="O23" s="17">
        <v>0</v>
      </c>
    </row>
    <row r="24" spans="1:15" ht="15" x14ac:dyDescent="0.25">
      <c r="A24" s="18" t="s">
        <v>50</v>
      </c>
      <c r="B24" s="32" t="s">
        <v>51</v>
      </c>
      <c r="C24" s="193">
        <v>12000000</v>
      </c>
      <c r="D24" s="21"/>
      <c r="E24" s="22">
        <v>20000000</v>
      </c>
      <c r="F24" s="34"/>
      <c r="G24" s="61"/>
      <c r="H24" s="20">
        <f t="shared" si="9"/>
        <v>32000000</v>
      </c>
      <c r="I24" s="21">
        <f>FEBRERO!I24+FEBRERO!J24</f>
        <v>15994800</v>
      </c>
      <c r="J24" s="21">
        <v>0</v>
      </c>
      <c r="K24" s="20">
        <f t="shared" si="10"/>
        <v>15994800</v>
      </c>
      <c r="L24" s="15">
        <f t="shared" si="1"/>
        <v>0.49983749999999999</v>
      </c>
      <c r="M24" s="23">
        <f t="shared" si="6"/>
        <v>15994800</v>
      </c>
      <c r="N24" s="24">
        <f t="shared" si="11"/>
        <v>16005200</v>
      </c>
      <c r="O24" s="33">
        <f t="shared" si="2"/>
        <v>0.50016249999999995</v>
      </c>
    </row>
    <row r="25" spans="1:15" ht="15" x14ac:dyDescent="0.25">
      <c r="A25" s="18" t="s">
        <v>52</v>
      </c>
      <c r="B25" s="31" t="s">
        <v>53</v>
      </c>
      <c r="C25" s="193">
        <v>1200000</v>
      </c>
      <c r="D25" s="21"/>
      <c r="E25" s="22"/>
      <c r="F25" s="34"/>
      <c r="G25" s="62"/>
      <c r="H25" s="20">
        <f t="shared" si="9"/>
        <v>1200000</v>
      </c>
      <c r="I25" s="21">
        <f>FEBRERO!I25+FEBRERO!J25</f>
        <v>0</v>
      </c>
      <c r="J25" s="21">
        <v>0</v>
      </c>
      <c r="K25" s="20">
        <f t="shared" si="10"/>
        <v>0</v>
      </c>
      <c r="L25" s="15">
        <f t="shared" si="1"/>
        <v>0</v>
      </c>
      <c r="M25" s="16">
        <f t="shared" si="6"/>
        <v>0</v>
      </c>
      <c r="N25" s="24">
        <f t="shared" si="11"/>
        <v>1200000</v>
      </c>
      <c r="O25" s="33">
        <f>N25/H25</f>
        <v>1</v>
      </c>
    </row>
    <row r="26" spans="1:15" ht="15" x14ac:dyDescent="0.25">
      <c r="A26" s="18" t="s">
        <v>54</v>
      </c>
      <c r="B26" s="31" t="s">
        <v>55</v>
      </c>
      <c r="C26" s="193">
        <v>0</v>
      </c>
      <c r="D26" s="21"/>
      <c r="E26" s="22"/>
      <c r="F26" s="34"/>
      <c r="G26" s="61"/>
      <c r="H26" s="20">
        <f t="shared" si="9"/>
        <v>0</v>
      </c>
      <c r="I26" s="21">
        <f>FEBRERO!I26+FEBRERO!J26</f>
        <v>0</v>
      </c>
      <c r="J26" s="21"/>
      <c r="K26" s="20">
        <f t="shared" si="10"/>
        <v>0</v>
      </c>
      <c r="L26" s="15">
        <v>0</v>
      </c>
      <c r="M26" s="16">
        <f t="shared" si="6"/>
        <v>0</v>
      </c>
      <c r="N26" s="24">
        <f t="shared" si="11"/>
        <v>0</v>
      </c>
      <c r="O26" s="33">
        <v>0</v>
      </c>
    </row>
    <row r="27" spans="1:15" s="69" customFormat="1" ht="27.75" customHeight="1" x14ac:dyDescent="0.2">
      <c r="A27" s="63" t="s">
        <v>56</v>
      </c>
      <c r="B27" s="64" t="s">
        <v>57</v>
      </c>
      <c r="C27" s="65">
        <f t="shared" ref="C27:J27" si="12">SUM(C28:C42)</f>
        <v>75448328</v>
      </c>
      <c r="D27" s="65">
        <f t="shared" si="12"/>
        <v>0</v>
      </c>
      <c r="E27" s="65">
        <f t="shared" si="12"/>
        <v>57000000</v>
      </c>
      <c r="F27" s="65">
        <f t="shared" si="12"/>
        <v>631976</v>
      </c>
      <c r="G27" s="65">
        <f t="shared" si="12"/>
        <v>0</v>
      </c>
      <c r="H27" s="65">
        <f t="shared" si="12"/>
        <v>133080304</v>
      </c>
      <c r="I27" s="65">
        <f t="shared" si="12"/>
        <v>17531658</v>
      </c>
      <c r="J27" s="65">
        <f t="shared" si="12"/>
        <v>34871042</v>
      </c>
      <c r="K27" s="65">
        <f>K28+K29+K30+K31+K32+K33+K34+K35+K36+K37+K38+K39+K40</f>
        <v>52402700</v>
      </c>
      <c r="L27" s="66">
        <f t="shared" si="1"/>
        <v>0.39376751047998809</v>
      </c>
      <c r="M27" s="67">
        <f>I27+J27</f>
        <v>52402700</v>
      </c>
      <c r="N27" s="72">
        <f>SUM(N28:N42)</f>
        <v>80677604</v>
      </c>
      <c r="O27" s="68">
        <f t="shared" si="2"/>
        <v>0.60623248952001196</v>
      </c>
    </row>
    <row r="28" spans="1:15" ht="15" x14ac:dyDescent="0.25">
      <c r="A28" s="18" t="s">
        <v>58</v>
      </c>
      <c r="B28" s="31" t="s">
        <v>59</v>
      </c>
      <c r="C28" s="193">
        <v>180000</v>
      </c>
      <c r="D28" s="21"/>
      <c r="E28" s="22">
        <f>16000000</f>
        <v>16000000</v>
      </c>
      <c r="F28" s="34"/>
      <c r="G28" s="61"/>
      <c r="H28" s="20">
        <f t="shared" ref="H28:H42" si="13">C28-D28+E28+F28-G28</f>
        <v>16180000</v>
      </c>
      <c r="I28" s="21">
        <f>FEBRERO!I28+FEBRERO!J28</f>
        <v>1200000</v>
      </c>
      <c r="J28" s="21">
        <f>'LIBRO DE PRESUPUESTO'!J168</f>
        <v>14930000</v>
      </c>
      <c r="K28" s="20">
        <f t="shared" si="10"/>
        <v>16130000</v>
      </c>
      <c r="L28" s="15">
        <f t="shared" si="1"/>
        <v>0.99690976514215079</v>
      </c>
      <c r="M28" s="23">
        <f t="shared" si="6"/>
        <v>16130000</v>
      </c>
      <c r="N28" s="24">
        <f t="shared" ref="N28:N39" si="14">H28-K28</f>
        <v>50000</v>
      </c>
      <c r="O28" s="33">
        <f t="shared" si="2"/>
        <v>3.0902348578491965E-3</v>
      </c>
    </row>
    <row r="29" spans="1:15" ht="15" x14ac:dyDescent="0.25">
      <c r="A29" s="18" t="s">
        <v>60</v>
      </c>
      <c r="B29" s="31" t="s">
        <v>61</v>
      </c>
      <c r="C29" s="193">
        <v>39298328</v>
      </c>
      <c r="D29" s="21"/>
      <c r="E29" s="22"/>
      <c r="F29" s="34"/>
      <c r="G29" s="61"/>
      <c r="H29" s="20">
        <f t="shared" si="13"/>
        <v>39298328</v>
      </c>
      <c r="I29" s="21">
        <f>FEBRERO!I29+FEBRERO!J29</f>
        <v>13417168</v>
      </c>
      <c r="J29" s="21">
        <f>SUM('LIBRO DE PRESUPUESTO'!J200:J207)</f>
        <v>10755500</v>
      </c>
      <c r="K29" s="20">
        <f t="shared" si="10"/>
        <v>24172668</v>
      </c>
      <c r="L29" s="15">
        <f t="shared" si="1"/>
        <v>0.61510678011542885</v>
      </c>
      <c r="M29" s="23">
        <f>J29+I29</f>
        <v>24172668</v>
      </c>
      <c r="N29" s="24">
        <f t="shared" si="14"/>
        <v>15125660</v>
      </c>
      <c r="O29" s="33">
        <f t="shared" si="2"/>
        <v>0.38489321988457115</v>
      </c>
    </row>
    <row r="30" spans="1:15" ht="15" x14ac:dyDescent="0.25">
      <c r="A30" s="18" t="s">
        <v>62</v>
      </c>
      <c r="B30" s="31" t="s">
        <v>63</v>
      </c>
      <c r="C30" s="193">
        <v>1200000</v>
      </c>
      <c r="D30" s="21"/>
      <c r="E30" s="22"/>
      <c r="F30" s="34"/>
      <c r="G30" s="61"/>
      <c r="H30" s="20">
        <f t="shared" si="13"/>
        <v>1200000</v>
      </c>
      <c r="I30" s="21">
        <f>FEBRERO!I30+FEBRERO!J30</f>
        <v>200000</v>
      </c>
      <c r="J30" s="41">
        <v>0</v>
      </c>
      <c r="K30" s="20">
        <f t="shared" si="10"/>
        <v>200000</v>
      </c>
      <c r="L30" s="15">
        <f t="shared" si="1"/>
        <v>0.16666666666666666</v>
      </c>
      <c r="M30" s="23">
        <f t="shared" si="6"/>
        <v>200000</v>
      </c>
      <c r="N30" s="24">
        <f t="shared" si="14"/>
        <v>1000000</v>
      </c>
      <c r="O30" s="33">
        <f t="shared" si="2"/>
        <v>0.83333333333333337</v>
      </c>
    </row>
    <row r="31" spans="1:15" ht="15" x14ac:dyDescent="0.25">
      <c r="A31" s="18" t="s">
        <v>64</v>
      </c>
      <c r="B31" s="31" t="s">
        <v>65</v>
      </c>
      <c r="C31" s="193">
        <f>900000*12</f>
        <v>10800000</v>
      </c>
      <c r="D31" s="21"/>
      <c r="E31" s="22"/>
      <c r="F31" s="34"/>
      <c r="G31" s="61"/>
      <c r="H31" s="20">
        <f t="shared" si="13"/>
        <v>10800000</v>
      </c>
      <c r="I31" s="21">
        <f>FEBRERO!I31+FEBRERO!J31</f>
        <v>1413600</v>
      </c>
      <c r="J31" s="41">
        <f>'LIBRO DE PRESUPUESTO'!J266</f>
        <v>920100</v>
      </c>
      <c r="K31" s="20">
        <f t="shared" si="10"/>
        <v>2333700</v>
      </c>
      <c r="L31" s="15">
        <f t="shared" si="1"/>
        <v>0.21608333333333332</v>
      </c>
      <c r="M31" s="23">
        <f t="shared" si="6"/>
        <v>2333700</v>
      </c>
      <c r="N31" s="24">
        <f t="shared" si="14"/>
        <v>8466300</v>
      </c>
      <c r="O31" s="17">
        <f t="shared" si="2"/>
        <v>0.78391666666666671</v>
      </c>
    </row>
    <row r="32" spans="1:15" ht="15" x14ac:dyDescent="0.25">
      <c r="A32" s="18" t="s">
        <v>66</v>
      </c>
      <c r="B32" s="31" t="s">
        <v>67</v>
      </c>
      <c r="C32" s="193">
        <f>550000*12</f>
        <v>6600000</v>
      </c>
      <c r="D32" s="21"/>
      <c r="E32" s="22"/>
      <c r="F32" s="34"/>
      <c r="G32" s="61"/>
      <c r="H32" s="20">
        <f t="shared" si="13"/>
        <v>6600000</v>
      </c>
      <c r="I32" s="21">
        <f>FEBRERO!I32+FEBRERO!J32</f>
        <v>1065550</v>
      </c>
      <c r="J32" s="41">
        <f>SUM('LIBRO DE PRESUPUESTO'!J285:J286)</f>
        <v>346900</v>
      </c>
      <c r="K32" s="20">
        <f t="shared" si="10"/>
        <v>1412450</v>
      </c>
      <c r="L32" s="15">
        <f t="shared" si="1"/>
        <v>0.21400757575757576</v>
      </c>
      <c r="M32" s="23">
        <f t="shared" si="6"/>
        <v>1412450</v>
      </c>
      <c r="N32" s="24">
        <f t="shared" si="14"/>
        <v>5187550</v>
      </c>
      <c r="O32" s="17">
        <f t="shared" si="2"/>
        <v>0.78599242424242421</v>
      </c>
    </row>
    <row r="33" spans="1:17" ht="15" x14ac:dyDescent="0.25">
      <c r="A33" s="18" t="s">
        <v>68</v>
      </c>
      <c r="B33" s="31" t="s">
        <v>69</v>
      </c>
      <c r="C33" s="193">
        <f>160000*12</f>
        <v>1920000</v>
      </c>
      <c r="D33" s="21"/>
      <c r="E33" s="22"/>
      <c r="F33" s="34"/>
      <c r="G33" s="61"/>
      <c r="H33" s="20">
        <f t="shared" si="13"/>
        <v>1920000</v>
      </c>
      <c r="I33" s="21">
        <f>FEBRERO!I33+FEBRERO!J33</f>
        <v>235340</v>
      </c>
      <c r="J33" s="25">
        <f>'LIBRO DE PRESUPUESTO'!J309+'LIBRO DE PRESUPUESTO'!J310</f>
        <v>132290</v>
      </c>
      <c r="K33" s="20">
        <f t="shared" si="10"/>
        <v>367630</v>
      </c>
      <c r="L33" s="15">
        <f t="shared" si="1"/>
        <v>0.19147395833333333</v>
      </c>
      <c r="M33" s="23">
        <f t="shared" si="6"/>
        <v>367630</v>
      </c>
      <c r="N33" s="24">
        <f t="shared" si="14"/>
        <v>1552370</v>
      </c>
      <c r="O33" s="17">
        <v>0</v>
      </c>
    </row>
    <row r="34" spans="1:17" ht="15" x14ac:dyDescent="0.25">
      <c r="A34" s="18" t="s">
        <v>70</v>
      </c>
      <c r="B34" s="32" t="s">
        <v>71</v>
      </c>
      <c r="C34" s="193">
        <v>1500000</v>
      </c>
      <c r="D34" s="21"/>
      <c r="E34" s="22"/>
      <c r="F34" s="34"/>
      <c r="G34" s="61"/>
      <c r="H34" s="20">
        <f t="shared" si="13"/>
        <v>1500000</v>
      </c>
      <c r="I34" s="21">
        <f>FEBRERO!I34+FEBRERO!J34</f>
        <v>0</v>
      </c>
      <c r="J34" s="21">
        <v>0</v>
      </c>
      <c r="K34" s="20">
        <f t="shared" si="10"/>
        <v>0</v>
      </c>
      <c r="L34" s="15">
        <f t="shared" si="1"/>
        <v>0</v>
      </c>
      <c r="M34" s="23">
        <f t="shared" si="6"/>
        <v>0</v>
      </c>
      <c r="N34" s="24">
        <f t="shared" si="14"/>
        <v>1500000</v>
      </c>
      <c r="O34" s="17">
        <f t="shared" ref="O34:O64" si="15">N34/H34</f>
        <v>1</v>
      </c>
    </row>
    <row r="35" spans="1:17" ht="15" x14ac:dyDescent="0.25">
      <c r="A35" s="18" t="s">
        <v>72</v>
      </c>
      <c r="B35" s="31" t="s">
        <v>73</v>
      </c>
      <c r="C35" s="193">
        <v>0</v>
      </c>
      <c r="D35" s="21"/>
      <c r="E35" s="22"/>
      <c r="F35" s="36"/>
      <c r="G35" s="61"/>
      <c r="H35" s="20">
        <f t="shared" si="13"/>
        <v>0</v>
      </c>
      <c r="I35" s="21">
        <f>FEBRERO!I35+FEBRERO!J35</f>
        <v>0</v>
      </c>
      <c r="J35" s="21">
        <v>0</v>
      </c>
      <c r="K35" s="20">
        <f t="shared" si="10"/>
        <v>0</v>
      </c>
      <c r="L35" s="15">
        <v>0</v>
      </c>
      <c r="M35" s="23">
        <f t="shared" si="6"/>
        <v>0</v>
      </c>
      <c r="N35" s="24">
        <f t="shared" si="14"/>
        <v>0</v>
      </c>
      <c r="O35" s="17">
        <v>0</v>
      </c>
    </row>
    <row r="36" spans="1:17" ht="15" x14ac:dyDescent="0.25">
      <c r="A36" s="18" t="s">
        <v>74</v>
      </c>
      <c r="B36" s="31" t="s">
        <v>75</v>
      </c>
      <c r="C36" s="193">
        <v>8000000</v>
      </c>
      <c r="D36" s="21"/>
      <c r="E36" s="22"/>
      <c r="F36" s="34">
        <f>'LIBRO DE PRESUPUESTO'!G343</f>
        <v>631976</v>
      </c>
      <c r="G36" s="61"/>
      <c r="H36" s="20">
        <f t="shared" si="13"/>
        <v>8631976</v>
      </c>
      <c r="I36" s="21">
        <f>FEBRERO!I36+FEBRERO!J36</f>
        <v>0</v>
      </c>
      <c r="J36" s="43">
        <f>'LIBRO DE PRESUPUESTO'!J342+'LIBRO DE PRESUPUESTO'!J344</f>
        <v>7786252</v>
      </c>
      <c r="K36" s="20">
        <f t="shared" si="10"/>
        <v>7786252</v>
      </c>
      <c r="L36" s="15">
        <f t="shared" si="1"/>
        <v>0.90202428737058582</v>
      </c>
      <c r="M36" s="23">
        <f t="shared" si="6"/>
        <v>7786252</v>
      </c>
      <c r="N36" s="24">
        <f t="shared" si="14"/>
        <v>845724</v>
      </c>
      <c r="O36" s="17">
        <f t="shared" si="15"/>
        <v>9.7975712629414166E-2</v>
      </c>
    </row>
    <row r="37" spans="1:17" ht="15" x14ac:dyDescent="0.25">
      <c r="A37" s="18" t="s">
        <v>76</v>
      </c>
      <c r="B37" s="32" t="s">
        <v>77</v>
      </c>
      <c r="C37" s="193">
        <v>5000000</v>
      </c>
      <c r="D37" s="21"/>
      <c r="E37" s="22">
        <v>20000000</v>
      </c>
      <c r="F37" s="34"/>
      <c r="G37" s="61"/>
      <c r="H37" s="20">
        <f t="shared" si="13"/>
        <v>25000000</v>
      </c>
      <c r="I37" s="21">
        <f>FEBRERO!I37+FEBRERO!J37</f>
        <v>0</v>
      </c>
      <c r="J37" s="43">
        <v>0</v>
      </c>
      <c r="K37" s="20">
        <f t="shared" si="10"/>
        <v>0</v>
      </c>
      <c r="L37" s="15">
        <f t="shared" si="1"/>
        <v>0</v>
      </c>
      <c r="M37" s="23">
        <f t="shared" si="6"/>
        <v>0</v>
      </c>
      <c r="N37" s="24">
        <f t="shared" si="14"/>
        <v>25000000</v>
      </c>
      <c r="O37" s="17">
        <f t="shared" si="15"/>
        <v>1</v>
      </c>
    </row>
    <row r="38" spans="1:17" ht="15" x14ac:dyDescent="0.25">
      <c r="A38" s="18" t="s">
        <v>78</v>
      </c>
      <c r="B38" s="31" t="s">
        <v>79</v>
      </c>
      <c r="C38" s="193">
        <v>0</v>
      </c>
      <c r="D38" s="21"/>
      <c r="E38" s="22">
        <v>3000000</v>
      </c>
      <c r="F38" s="34"/>
      <c r="G38" s="61"/>
      <c r="H38" s="20">
        <f t="shared" si="13"/>
        <v>3000000</v>
      </c>
      <c r="I38" s="21">
        <f>FEBRERO!I38+FEBRERO!J38</f>
        <v>0</v>
      </c>
      <c r="J38" s="43">
        <v>0</v>
      </c>
      <c r="K38" s="20">
        <f t="shared" si="10"/>
        <v>0</v>
      </c>
      <c r="L38" s="15">
        <f t="shared" si="1"/>
        <v>0</v>
      </c>
      <c r="M38" s="23">
        <f t="shared" si="6"/>
        <v>0</v>
      </c>
      <c r="N38" s="24">
        <f t="shared" si="14"/>
        <v>3000000</v>
      </c>
      <c r="O38" s="17">
        <f t="shared" si="15"/>
        <v>1</v>
      </c>
    </row>
    <row r="39" spans="1:17" ht="15" x14ac:dyDescent="0.25">
      <c r="A39" s="18" t="s">
        <v>80</v>
      </c>
      <c r="B39" s="31" t="s">
        <v>81</v>
      </c>
      <c r="C39" s="193">
        <v>0</v>
      </c>
      <c r="D39" s="21"/>
      <c r="E39" s="22">
        <v>15000000</v>
      </c>
      <c r="F39" s="34"/>
      <c r="G39" s="61"/>
      <c r="H39" s="20">
        <f t="shared" si="13"/>
        <v>15000000</v>
      </c>
      <c r="I39" s="21">
        <f>FEBRERO!I39+FEBRERO!J39</f>
        <v>0</v>
      </c>
      <c r="J39" s="21">
        <v>0</v>
      </c>
      <c r="K39" s="20">
        <f t="shared" si="10"/>
        <v>0</v>
      </c>
      <c r="L39" s="15">
        <f t="shared" si="1"/>
        <v>0</v>
      </c>
      <c r="M39" s="23">
        <f t="shared" si="6"/>
        <v>0</v>
      </c>
      <c r="N39" s="24">
        <f t="shared" si="14"/>
        <v>15000000</v>
      </c>
      <c r="O39" s="17">
        <f t="shared" si="15"/>
        <v>1</v>
      </c>
    </row>
    <row r="40" spans="1:17" ht="15" x14ac:dyDescent="0.25">
      <c r="A40" s="18" t="s">
        <v>82</v>
      </c>
      <c r="B40" s="31" t="s">
        <v>83</v>
      </c>
      <c r="C40" s="193">
        <v>0</v>
      </c>
      <c r="D40" s="21"/>
      <c r="E40" s="22">
        <v>3000000</v>
      </c>
      <c r="F40" s="34"/>
      <c r="G40" s="61"/>
      <c r="H40" s="20">
        <f t="shared" si="13"/>
        <v>3000000</v>
      </c>
      <c r="I40" s="21">
        <f>FEBRERO!I40+FEBRERO!J40</f>
        <v>0</v>
      </c>
      <c r="J40" s="21">
        <v>0</v>
      </c>
      <c r="K40" s="20">
        <f t="shared" si="10"/>
        <v>0</v>
      </c>
      <c r="L40" s="15">
        <f>K40/H40</f>
        <v>0</v>
      </c>
      <c r="M40" s="23">
        <f t="shared" si="6"/>
        <v>0</v>
      </c>
      <c r="N40" s="24">
        <f>H40-K40</f>
        <v>3000000</v>
      </c>
      <c r="O40" s="17">
        <f t="shared" si="15"/>
        <v>1</v>
      </c>
    </row>
    <row r="41" spans="1:17" ht="15" x14ac:dyDescent="0.25">
      <c r="A41" s="18" t="s">
        <v>84</v>
      </c>
      <c r="B41" s="31" t="s">
        <v>85</v>
      </c>
      <c r="C41" s="193">
        <v>0</v>
      </c>
      <c r="D41" s="21"/>
      <c r="E41" s="22"/>
      <c r="F41" s="34"/>
      <c r="G41" s="61"/>
      <c r="H41" s="20">
        <f t="shared" si="13"/>
        <v>0</v>
      </c>
      <c r="I41" s="21">
        <f>FEBRERO!I41+FEBRERO!J41</f>
        <v>0</v>
      </c>
      <c r="J41" s="21">
        <v>0</v>
      </c>
      <c r="K41" s="20">
        <f t="shared" si="10"/>
        <v>0</v>
      </c>
      <c r="L41" s="15">
        <v>0</v>
      </c>
      <c r="M41" s="23">
        <f t="shared" si="6"/>
        <v>0</v>
      </c>
      <c r="N41" s="24">
        <f>H41-K41</f>
        <v>0</v>
      </c>
      <c r="O41" s="17">
        <v>0</v>
      </c>
    </row>
    <row r="42" spans="1:17" ht="15" x14ac:dyDescent="0.25">
      <c r="A42" s="96">
        <v>2020120215</v>
      </c>
      <c r="B42" s="31" t="s">
        <v>118</v>
      </c>
      <c r="C42" s="193">
        <v>950000</v>
      </c>
      <c r="D42" s="21"/>
      <c r="E42" s="22"/>
      <c r="F42" s="34"/>
      <c r="G42" s="61"/>
      <c r="H42" s="20">
        <f t="shared" si="13"/>
        <v>950000</v>
      </c>
      <c r="I42" s="21">
        <f>FEBRERO!I42+FEBRERO!J42</f>
        <v>0</v>
      </c>
      <c r="J42" s="21">
        <v>0</v>
      </c>
      <c r="K42" s="20">
        <f t="shared" si="10"/>
        <v>0</v>
      </c>
      <c r="L42" s="15">
        <v>0</v>
      </c>
      <c r="M42" s="23">
        <f t="shared" si="6"/>
        <v>0</v>
      </c>
      <c r="N42" s="24">
        <f>H42-K42</f>
        <v>950000</v>
      </c>
      <c r="O42" s="17">
        <f t="shared" si="15"/>
        <v>1</v>
      </c>
    </row>
    <row r="43" spans="1:17" ht="15.75" x14ac:dyDescent="0.2">
      <c r="A43" s="63">
        <v>20201203</v>
      </c>
      <c r="B43" s="79" t="s">
        <v>191</v>
      </c>
      <c r="C43" s="329">
        <f>C44</f>
        <v>0</v>
      </c>
      <c r="D43" s="329">
        <f t="shared" ref="D43:H43" si="16">D44</f>
        <v>0</v>
      </c>
      <c r="E43" s="329">
        <f t="shared" si="16"/>
        <v>0</v>
      </c>
      <c r="F43" s="329">
        <f t="shared" si="16"/>
        <v>1000000</v>
      </c>
      <c r="G43" s="329">
        <f t="shared" si="16"/>
        <v>0</v>
      </c>
      <c r="H43" s="329">
        <f t="shared" si="16"/>
        <v>1000000</v>
      </c>
      <c r="I43" s="330">
        <f>I44</f>
        <v>0</v>
      </c>
      <c r="J43" s="344">
        <f>J44</f>
        <v>0</v>
      </c>
      <c r="K43" s="63">
        <f t="shared" si="10"/>
        <v>0</v>
      </c>
      <c r="L43" s="331">
        <v>0</v>
      </c>
      <c r="M43" s="63">
        <f t="shared" si="6"/>
        <v>0</v>
      </c>
      <c r="N43" s="332">
        <f>H43-K43</f>
        <v>1000000</v>
      </c>
      <c r="O43" s="345">
        <f t="shared" si="15"/>
        <v>1</v>
      </c>
    </row>
    <row r="44" spans="1:17" ht="15" x14ac:dyDescent="0.25">
      <c r="A44" s="96">
        <v>2020120301</v>
      </c>
      <c r="B44" s="31" t="s">
        <v>192</v>
      </c>
      <c r="C44" s="328"/>
      <c r="D44" s="21"/>
      <c r="E44" s="22"/>
      <c r="F44" s="34">
        <v>1000000</v>
      </c>
      <c r="G44" s="61"/>
      <c r="H44" s="20">
        <f>C44-D44+E44+F44-G44</f>
        <v>1000000</v>
      </c>
      <c r="I44" s="21">
        <v>0</v>
      </c>
      <c r="J44" s="21">
        <v>0</v>
      </c>
      <c r="K44" s="20"/>
      <c r="L44" s="15"/>
      <c r="M44" s="23">
        <f t="shared" si="6"/>
        <v>0</v>
      </c>
      <c r="N44" s="333">
        <f>H44-K44</f>
        <v>1000000</v>
      </c>
      <c r="O44" s="17">
        <f t="shared" si="15"/>
        <v>1</v>
      </c>
    </row>
    <row r="45" spans="1:17" s="69" customFormat="1" ht="27.75" customHeight="1" x14ac:dyDescent="0.2">
      <c r="A45" s="63" t="s">
        <v>86</v>
      </c>
      <c r="B45" s="79" t="s">
        <v>87</v>
      </c>
      <c r="C45" s="70">
        <f>SUM(C46:C49)</f>
        <v>83777302.320260897</v>
      </c>
      <c r="D45" s="70">
        <f t="shared" ref="D45:J45" si="17">SUM(D46:D49)</f>
        <v>0</v>
      </c>
      <c r="E45" s="70">
        <f t="shared" si="17"/>
        <v>0</v>
      </c>
      <c r="F45" s="70">
        <f t="shared" si="17"/>
        <v>0</v>
      </c>
      <c r="G45" s="70">
        <f t="shared" si="17"/>
        <v>0</v>
      </c>
      <c r="H45" s="70">
        <f t="shared" si="17"/>
        <v>83777302.320260897</v>
      </c>
      <c r="I45" s="70">
        <f t="shared" si="17"/>
        <v>9437830</v>
      </c>
      <c r="J45" s="70">
        <f t="shared" si="17"/>
        <v>5314687</v>
      </c>
      <c r="K45" s="65">
        <f t="shared" ref="K45" si="18">K46+K47+K48+K49</f>
        <v>14752517</v>
      </c>
      <c r="L45" s="66">
        <f t="shared" si="1"/>
        <v>0.17609205108568191</v>
      </c>
      <c r="M45" s="70">
        <f t="shared" si="6"/>
        <v>14752517</v>
      </c>
      <c r="N45" s="70">
        <f t="shared" ref="N45" si="19">SUM(N46:N49)</f>
        <v>69024785.320260897</v>
      </c>
      <c r="O45" s="68">
        <f t="shared" si="15"/>
        <v>0.82390794891431807</v>
      </c>
    </row>
    <row r="46" spans="1:17" ht="15" x14ac:dyDescent="0.25">
      <c r="A46" s="18" t="s">
        <v>88</v>
      </c>
      <c r="B46" s="31" t="s">
        <v>89</v>
      </c>
      <c r="C46" s="215">
        <v>13146617.570005897</v>
      </c>
      <c r="D46" s="346"/>
      <c r="E46" s="22"/>
      <c r="F46" s="34"/>
      <c r="G46" s="61"/>
      <c r="H46" s="20">
        <f>C46-D46+E46+F46-G46</f>
        <v>13146617.570005897</v>
      </c>
      <c r="I46" s="21">
        <f>FEBRERO!I46+FEBRERO!J46</f>
        <v>0</v>
      </c>
      <c r="J46" s="42">
        <v>0</v>
      </c>
      <c r="K46" s="20">
        <f t="shared" si="10"/>
        <v>0</v>
      </c>
      <c r="L46" s="15">
        <f t="shared" si="1"/>
        <v>0</v>
      </c>
      <c r="M46" s="23">
        <f t="shared" si="6"/>
        <v>0</v>
      </c>
      <c r="N46" s="24">
        <f>H46-K46</f>
        <v>13146617.570005897</v>
      </c>
      <c r="O46" s="17">
        <f t="shared" si="15"/>
        <v>1</v>
      </c>
    </row>
    <row r="47" spans="1:17" ht="15" x14ac:dyDescent="0.25">
      <c r="A47" s="18" t="s">
        <v>90</v>
      </c>
      <c r="B47" s="31" t="s">
        <v>91</v>
      </c>
      <c r="C47" s="215">
        <v>43392204</v>
      </c>
      <c r="D47" s="346"/>
      <c r="E47" s="22"/>
      <c r="F47" s="34"/>
      <c r="G47" s="61"/>
      <c r="H47" s="20">
        <f>C47-D47+E47+F47-G47</f>
        <v>43392204</v>
      </c>
      <c r="I47" s="21">
        <f>FEBRERO!I47+FEBRERO!J47</f>
        <v>6705493</v>
      </c>
      <c r="J47" s="41">
        <f>'LIBRO DE PRESUPUESTO'!J414</f>
        <v>3987788</v>
      </c>
      <c r="K47" s="20">
        <f t="shared" si="10"/>
        <v>10693281</v>
      </c>
      <c r="L47" s="15">
        <f t="shared" si="1"/>
        <v>0.24643323026412764</v>
      </c>
      <c r="M47" s="23">
        <f t="shared" si="6"/>
        <v>10693281</v>
      </c>
      <c r="N47" s="24">
        <f>H47-K47</f>
        <v>32698923</v>
      </c>
      <c r="O47" s="17">
        <f t="shared" si="15"/>
        <v>0.75356676973587233</v>
      </c>
      <c r="Q47" s="35"/>
    </row>
    <row r="48" spans="1:17" ht="15" x14ac:dyDescent="0.25">
      <c r="A48" s="26">
        <v>2020110304</v>
      </c>
      <c r="B48" s="31" t="s">
        <v>92</v>
      </c>
      <c r="C48" s="215">
        <v>21030768.590477761</v>
      </c>
      <c r="D48" s="346"/>
      <c r="E48" s="22"/>
      <c r="F48" s="34"/>
      <c r="G48" s="61"/>
      <c r="H48" s="20">
        <f>C48-D48+E48+F48-G48</f>
        <v>21030768.590477761</v>
      </c>
      <c r="I48" s="21">
        <f>FEBRERO!I48+FEBRERO!J48</f>
        <v>2732337</v>
      </c>
      <c r="J48" s="41">
        <f>'LIBRO DE PRESUPUESTO'!J422</f>
        <v>1326899</v>
      </c>
      <c r="K48" s="20">
        <f t="shared" si="10"/>
        <v>4059236</v>
      </c>
      <c r="L48" s="15">
        <f t="shared" si="1"/>
        <v>0.1930141536452418</v>
      </c>
      <c r="M48" s="23">
        <f t="shared" si="6"/>
        <v>4059236</v>
      </c>
      <c r="N48" s="24">
        <f>H48-K48</f>
        <v>16971532.590477761</v>
      </c>
      <c r="O48" s="17">
        <f t="shared" si="15"/>
        <v>0.80698584635475823</v>
      </c>
      <c r="Q48" s="35"/>
    </row>
    <row r="49" spans="1:17" ht="15" x14ac:dyDescent="0.25">
      <c r="A49" s="26">
        <v>2020110305</v>
      </c>
      <c r="B49" s="31" t="s">
        <v>93</v>
      </c>
      <c r="C49" s="215">
        <v>6207712.159777239</v>
      </c>
      <c r="D49" s="347"/>
      <c r="E49" s="22"/>
      <c r="F49" s="34"/>
      <c r="G49" s="44"/>
      <c r="H49" s="20">
        <f>C49-D49+E49+F49-G49</f>
        <v>6207712.159777239</v>
      </c>
      <c r="I49" s="21">
        <f>FEBRERO!I49+FEBRERO!J49</f>
        <v>0</v>
      </c>
      <c r="J49" s="20">
        <v>0</v>
      </c>
      <c r="K49" s="20">
        <f t="shared" si="10"/>
        <v>0</v>
      </c>
      <c r="L49" s="15">
        <f t="shared" si="1"/>
        <v>0</v>
      </c>
      <c r="M49" s="23">
        <f t="shared" si="6"/>
        <v>0</v>
      </c>
      <c r="N49" s="24">
        <f>H49-K49</f>
        <v>6207712.159777239</v>
      </c>
      <c r="O49" s="17">
        <f t="shared" si="15"/>
        <v>1</v>
      </c>
      <c r="Q49" s="35"/>
    </row>
    <row r="50" spans="1:17" s="69" customFormat="1" ht="27.75" customHeight="1" x14ac:dyDescent="0.2">
      <c r="A50" s="63">
        <v>20201104</v>
      </c>
      <c r="B50" s="80" t="s">
        <v>94</v>
      </c>
      <c r="C50" s="70">
        <f>SUM(C51:C60)</f>
        <v>127422616</v>
      </c>
      <c r="D50" s="70">
        <f t="shared" ref="D50:H50" si="20">SUM(D51:D60)</f>
        <v>0</v>
      </c>
      <c r="E50" s="70">
        <f t="shared" si="20"/>
        <v>0</v>
      </c>
      <c r="F50" s="70">
        <f t="shared" si="20"/>
        <v>0</v>
      </c>
      <c r="G50" s="70">
        <f t="shared" si="20"/>
        <v>0</v>
      </c>
      <c r="H50" s="70">
        <f t="shared" si="20"/>
        <v>127422616</v>
      </c>
      <c r="I50" s="65">
        <f>SUM(I51:I60)</f>
        <v>15969879</v>
      </c>
      <c r="J50" s="65">
        <f>SUM(J51:J60)</f>
        <v>8950797</v>
      </c>
      <c r="K50" s="65">
        <f t="shared" si="10"/>
        <v>24920676</v>
      </c>
      <c r="L50" s="66">
        <f t="shared" si="1"/>
        <v>0.19557498332948994</v>
      </c>
      <c r="M50" s="67">
        <f t="shared" si="6"/>
        <v>24920676</v>
      </c>
      <c r="N50" s="72">
        <f>SUM(N51:N60)</f>
        <v>102501940</v>
      </c>
      <c r="O50" s="68">
        <f t="shared" si="15"/>
        <v>0.80442501667051003</v>
      </c>
      <c r="Q50" s="76"/>
    </row>
    <row r="51" spans="1:17" ht="15" x14ac:dyDescent="0.25">
      <c r="A51" s="75" t="s">
        <v>95</v>
      </c>
      <c r="B51" s="31" t="s">
        <v>96</v>
      </c>
      <c r="C51" s="215">
        <v>38584317</v>
      </c>
      <c r="D51" s="346"/>
      <c r="E51" s="22"/>
      <c r="F51" s="34"/>
      <c r="G51" s="61"/>
      <c r="H51" s="20">
        <f t="shared" ref="H51:H63" si="21">C51-D51+E51+F51-G51</f>
        <v>38584317</v>
      </c>
      <c r="I51" s="21">
        <f>FEBRERO!I51+FEBRERO!J51</f>
        <v>889141</v>
      </c>
      <c r="J51" s="25"/>
      <c r="K51" s="20">
        <f t="shared" si="10"/>
        <v>889141</v>
      </c>
      <c r="L51" s="15">
        <f t="shared" si="1"/>
        <v>2.3044103644493694E-2</v>
      </c>
      <c r="M51" s="23">
        <f t="shared" si="6"/>
        <v>889141</v>
      </c>
      <c r="N51" s="24">
        <f t="shared" ref="N51:N63" si="22">H51-K51</f>
        <v>37695176</v>
      </c>
      <c r="O51" s="17">
        <f t="shared" si="15"/>
        <v>0.97695589635550628</v>
      </c>
      <c r="Q51" s="35"/>
    </row>
    <row r="52" spans="1:17" ht="15" x14ac:dyDescent="0.25">
      <c r="A52" s="18" t="s">
        <v>97</v>
      </c>
      <c r="B52" s="31" t="s">
        <v>91</v>
      </c>
      <c r="C52" s="215">
        <v>0</v>
      </c>
      <c r="D52" s="346"/>
      <c r="E52" s="22"/>
      <c r="F52" s="34"/>
      <c r="G52" s="61"/>
      <c r="H52" s="20">
        <f t="shared" si="21"/>
        <v>0</v>
      </c>
      <c r="I52" s="21">
        <f>FEBRERO!I52+FEBRERO!J52</f>
        <v>0</v>
      </c>
      <c r="J52" s="21">
        <v>0</v>
      </c>
      <c r="K52" s="20">
        <f t="shared" si="10"/>
        <v>0</v>
      </c>
      <c r="L52" s="15">
        <v>0</v>
      </c>
      <c r="M52" s="16">
        <f t="shared" si="6"/>
        <v>0</v>
      </c>
      <c r="N52" s="24">
        <f t="shared" si="22"/>
        <v>0</v>
      </c>
      <c r="O52" s="17">
        <v>0</v>
      </c>
      <c r="Q52" s="35"/>
    </row>
    <row r="53" spans="1:17" ht="15" x14ac:dyDescent="0.25">
      <c r="A53" s="18" t="s">
        <v>98</v>
      </c>
      <c r="B53" s="31" t="s">
        <v>99</v>
      </c>
      <c r="C53" s="215">
        <v>2664792</v>
      </c>
      <c r="D53" s="346"/>
      <c r="E53" s="22"/>
      <c r="F53" s="34"/>
      <c r="G53" s="61"/>
      <c r="H53" s="20">
        <f t="shared" si="21"/>
        <v>2664792</v>
      </c>
      <c r="I53" s="21">
        <f>FEBRERO!I53+FEBRERO!J53</f>
        <v>534400</v>
      </c>
      <c r="J53" s="41">
        <f>'LIBRO DE PRESUPUESTO'!J457</f>
        <v>318800</v>
      </c>
      <c r="K53" s="20">
        <f t="shared" si="10"/>
        <v>853200</v>
      </c>
      <c r="L53" s="15">
        <f t="shared" si="1"/>
        <v>0.32017508308340764</v>
      </c>
      <c r="M53" s="23">
        <f t="shared" si="6"/>
        <v>853200</v>
      </c>
      <c r="N53" s="24">
        <f t="shared" si="22"/>
        <v>1811592</v>
      </c>
      <c r="O53" s="17">
        <f t="shared" si="15"/>
        <v>0.67982491691659241</v>
      </c>
      <c r="Q53" s="35"/>
    </row>
    <row r="54" spans="1:17" ht="15" x14ac:dyDescent="0.25">
      <c r="A54" s="18" t="s">
        <v>100</v>
      </c>
      <c r="B54" s="31" t="s">
        <v>92</v>
      </c>
      <c r="C54" s="215">
        <v>40228819</v>
      </c>
      <c r="D54" s="346"/>
      <c r="E54" s="22"/>
      <c r="F54" s="34"/>
      <c r="G54" s="61"/>
      <c r="H54" s="20">
        <f t="shared" si="21"/>
        <v>40228819</v>
      </c>
      <c r="I54" s="21">
        <f>FEBRERO!I54+FEBRERO!J54</f>
        <v>6708438</v>
      </c>
      <c r="J54" s="37">
        <f>'LIBRO DE PRESUPUESTO'!J469</f>
        <v>4407797</v>
      </c>
      <c r="K54" s="20">
        <f t="shared" si="10"/>
        <v>11116235</v>
      </c>
      <c r="L54" s="15">
        <f t="shared" si="1"/>
        <v>0.2763251638085622</v>
      </c>
      <c r="M54" s="23">
        <f t="shared" si="6"/>
        <v>11116235</v>
      </c>
      <c r="N54" s="24">
        <f t="shared" si="22"/>
        <v>29112584</v>
      </c>
      <c r="O54" s="17">
        <f t="shared" si="15"/>
        <v>0.7236748361914378</v>
      </c>
      <c r="Q54" s="35"/>
    </row>
    <row r="55" spans="1:17" ht="15" x14ac:dyDescent="0.25">
      <c r="A55" s="18" t="s">
        <v>101</v>
      </c>
      <c r="B55" s="31" t="s">
        <v>102</v>
      </c>
      <c r="C55" s="215">
        <v>20419860</v>
      </c>
      <c r="D55" s="346"/>
      <c r="E55" s="22"/>
      <c r="F55" s="34"/>
      <c r="G55" s="61"/>
      <c r="H55" s="20">
        <f t="shared" si="21"/>
        <v>20419860</v>
      </c>
      <c r="I55" s="21">
        <f>FEBRERO!I55+FEBRERO!J55</f>
        <v>3482100</v>
      </c>
      <c r="J55" s="41">
        <f>'LIBRO DE PRESUPUESTO'!J481</f>
        <v>1876800</v>
      </c>
      <c r="K55" s="20">
        <f t="shared" si="10"/>
        <v>5358900</v>
      </c>
      <c r="L55" s="15">
        <f t="shared" si="1"/>
        <v>0.26243568761000319</v>
      </c>
      <c r="M55" s="23">
        <f t="shared" si="6"/>
        <v>5358900</v>
      </c>
      <c r="N55" s="24">
        <f t="shared" si="22"/>
        <v>15060960</v>
      </c>
      <c r="O55" s="17">
        <f t="shared" si="15"/>
        <v>0.73756431238999676</v>
      </c>
      <c r="Q55" s="35"/>
    </row>
    <row r="56" spans="1:17" ht="15" x14ac:dyDescent="0.25">
      <c r="A56" s="18" t="s">
        <v>103</v>
      </c>
      <c r="B56" s="31" t="s">
        <v>104</v>
      </c>
      <c r="C56" s="215">
        <v>15314892</v>
      </c>
      <c r="D56" s="346"/>
      <c r="E56" s="22"/>
      <c r="F56" s="34"/>
      <c r="G56" s="61"/>
      <c r="H56" s="20">
        <f t="shared" si="21"/>
        <v>15314892</v>
      </c>
      <c r="I56" s="21">
        <f>FEBRERO!I56+FEBRERO!J56</f>
        <v>2612000</v>
      </c>
      <c r="J56" s="41">
        <f>'LIBRO DE PRESUPUESTO'!J494</f>
        <v>1407600</v>
      </c>
      <c r="K56" s="20">
        <f t="shared" si="10"/>
        <v>4019600</v>
      </c>
      <c r="L56" s="15">
        <f t="shared" si="1"/>
        <v>0.2624634897849753</v>
      </c>
      <c r="M56" s="23">
        <f t="shared" si="6"/>
        <v>4019600</v>
      </c>
      <c r="N56" s="24">
        <f t="shared" si="22"/>
        <v>11295292</v>
      </c>
      <c r="O56" s="17">
        <f t="shared" si="15"/>
        <v>0.73753651021502464</v>
      </c>
      <c r="Q56" s="35"/>
    </row>
    <row r="57" spans="1:17" ht="15" x14ac:dyDescent="0.25">
      <c r="A57" s="18" t="s">
        <v>105</v>
      </c>
      <c r="B57" s="31" t="s">
        <v>106</v>
      </c>
      <c r="C57" s="215">
        <v>2552484</v>
      </c>
      <c r="D57" s="346"/>
      <c r="E57" s="22"/>
      <c r="F57" s="34"/>
      <c r="G57" s="61"/>
      <c r="H57" s="20">
        <f t="shared" si="21"/>
        <v>2552484</v>
      </c>
      <c r="I57" s="21">
        <f>FEBRERO!I57+FEBRERO!J57</f>
        <v>436200</v>
      </c>
      <c r="J57" s="41">
        <f>'LIBRO DE PRESUPUESTO'!J510</f>
        <v>235100</v>
      </c>
      <c r="K57" s="20">
        <f t="shared" si="10"/>
        <v>671300</v>
      </c>
      <c r="L57" s="15">
        <f t="shared" si="1"/>
        <v>0.26299871027595079</v>
      </c>
      <c r="M57" s="23">
        <f t="shared" si="6"/>
        <v>671300</v>
      </c>
      <c r="N57" s="24">
        <f t="shared" si="22"/>
        <v>1881184</v>
      </c>
      <c r="O57" s="17">
        <f t="shared" si="15"/>
        <v>0.73700128972404921</v>
      </c>
      <c r="Q57" s="35"/>
    </row>
    <row r="58" spans="1:17" ht="15" x14ac:dyDescent="0.25">
      <c r="A58" s="18" t="s">
        <v>107</v>
      </c>
      <c r="B58" s="31" t="s">
        <v>108</v>
      </c>
      <c r="C58" s="215">
        <v>2552484</v>
      </c>
      <c r="D58" s="346"/>
      <c r="E58" s="22"/>
      <c r="F58" s="34"/>
      <c r="G58" s="61"/>
      <c r="H58" s="20">
        <f t="shared" si="21"/>
        <v>2552484</v>
      </c>
      <c r="I58" s="21">
        <f>FEBRERO!I58+FEBRERO!J58</f>
        <v>436200</v>
      </c>
      <c r="J58" s="41">
        <f>'LIBRO DE PRESUPUESTO'!J524</f>
        <v>235100</v>
      </c>
      <c r="K58" s="20">
        <f t="shared" si="10"/>
        <v>671300</v>
      </c>
      <c r="L58" s="15">
        <f t="shared" si="1"/>
        <v>0.26299871027595079</v>
      </c>
      <c r="M58" s="23">
        <f t="shared" si="6"/>
        <v>671300</v>
      </c>
      <c r="N58" s="24">
        <f t="shared" si="22"/>
        <v>1881184</v>
      </c>
      <c r="O58" s="17">
        <f t="shared" si="15"/>
        <v>0.73700128972404921</v>
      </c>
      <c r="Q58" s="35"/>
    </row>
    <row r="59" spans="1:17" ht="15" x14ac:dyDescent="0.25">
      <c r="A59" s="18" t="s">
        <v>109</v>
      </c>
      <c r="B59" s="31" t="s">
        <v>110</v>
      </c>
      <c r="C59" s="215">
        <v>5104968</v>
      </c>
      <c r="D59" s="346"/>
      <c r="E59" s="22"/>
      <c r="F59" s="34"/>
      <c r="G59" s="61"/>
      <c r="H59" s="20">
        <f t="shared" si="21"/>
        <v>5104968</v>
      </c>
      <c r="I59" s="21">
        <f>FEBRERO!I59+FEBRERO!J59</f>
        <v>871400</v>
      </c>
      <c r="J59" s="41">
        <f>'LIBRO DE PRESUPUESTO'!J543</f>
        <v>469600</v>
      </c>
      <c r="K59" s="20">
        <f t="shared" si="10"/>
        <v>1341000</v>
      </c>
      <c r="L59" s="15">
        <f t="shared" si="1"/>
        <v>0.26268529009388503</v>
      </c>
      <c r="M59" s="23">
        <f>J59+I59</f>
        <v>1341000</v>
      </c>
      <c r="N59" s="24">
        <f t="shared" si="22"/>
        <v>3763968</v>
      </c>
      <c r="O59" s="17">
        <f t="shared" si="15"/>
        <v>0.73731470990611503</v>
      </c>
      <c r="Q59" s="35"/>
    </row>
    <row r="60" spans="1:17" ht="15" x14ac:dyDescent="0.25">
      <c r="A60" s="18" t="s">
        <v>111</v>
      </c>
      <c r="B60" s="31" t="s">
        <v>112</v>
      </c>
      <c r="C60" s="193">
        <v>0</v>
      </c>
      <c r="D60" s="21"/>
      <c r="E60" s="22"/>
      <c r="F60" s="34"/>
      <c r="G60" s="61"/>
      <c r="H60" s="20">
        <f t="shared" si="21"/>
        <v>0</v>
      </c>
      <c r="I60" s="21">
        <f>FEBRERO!I60+FEBRERO!J60</f>
        <v>0</v>
      </c>
      <c r="J60" s="21">
        <v>0</v>
      </c>
      <c r="K60" s="20">
        <f t="shared" si="10"/>
        <v>0</v>
      </c>
      <c r="L60" s="15">
        <v>0</v>
      </c>
      <c r="M60" s="16">
        <f t="shared" si="6"/>
        <v>0</v>
      </c>
      <c r="N60" s="24">
        <f t="shared" si="22"/>
        <v>0</v>
      </c>
      <c r="O60" s="17">
        <v>0</v>
      </c>
      <c r="Q60" s="35"/>
    </row>
    <row r="61" spans="1:17" ht="27" customHeight="1" x14ac:dyDescent="0.2">
      <c r="A61" s="94">
        <v>20201301</v>
      </c>
      <c r="B61" s="64" t="s">
        <v>116</v>
      </c>
      <c r="C61" s="70">
        <f>C62</f>
        <v>0</v>
      </c>
      <c r="D61" s="71">
        <f t="shared" ref="D61:G61" si="23">D62</f>
        <v>0</v>
      </c>
      <c r="E61" s="71">
        <f>E62+E63</f>
        <v>0</v>
      </c>
      <c r="F61" s="65">
        <f t="shared" si="23"/>
        <v>0</v>
      </c>
      <c r="G61" s="71">
        <f t="shared" si="23"/>
        <v>0</v>
      </c>
      <c r="H61" s="65">
        <f>SUM(H62:H63)</f>
        <v>0</v>
      </c>
      <c r="I61" s="65">
        <f t="shared" ref="I61:L61" si="24">I62</f>
        <v>0</v>
      </c>
      <c r="J61" s="65">
        <f t="shared" si="24"/>
        <v>0</v>
      </c>
      <c r="K61" s="65">
        <f t="shared" si="24"/>
        <v>0</v>
      </c>
      <c r="L61" s="66">
        <f t="shared" si="24"/>
        <v>0</v>
      </c>
      <c r="M61" s="67">
        <f>J61+I61</f>
        <v>0</v>
      </c>
      <c r="N61" s="72">
        <f>SUM(N62:N63)</f>
        <v>0</v>
      </c>
      <c r="O61" s="68">
        <v>0</v>
      </c>
      <c r="Q61" s="35"/>
    </row>
    <row r="62" spans="1:17" ht="15" x14ac:dyDescent="0.25">
      <c r="A62" s="95">
        <v>2020130101</v>
      </c>
      <c r="B62" s="87" t="s">
        <v>117</v>
      </c>
      <c r="C62" s="88">
        <v>0</v>
      </c>
      <c r="D62" s="89">
        <v>0</v>
      </c>
      <c r="E62" s="90">
        <v>0</v>
      </c>
      <c r="F62" s="91"/>
      <c r="G62" s="92"/>
      <c r="H62" s="20">
        <f t="shared" si="21"/>
        <v>0</v>
      </c>
      <c r="I62" s="89">
        <v>0</v>
      </c>
      <c r="J62" s="89">
        <v>0</v>
      </c>
      <c r="K62" s="93">
        <v>0</v>
      </c>
      <c r="L62" s="15">
        <v>0</v>
      </c>
      <c r="M62" s="23">
        <f t="shared" si="6"/>
        <v>0</v>
      </c>
      <c r="N62" s="24">
        <f t="shared" si="22"/>
        <v>0</v>
      </c>
      <c r="O62" s="17">
        <v>0</v>
      </c>
      <c r="Q62" s="35"/>
    </row>
    <row r="63" spans="1:17" ht="15" x14ac:dyDescent="0.25">
      <c r="A63" s="95">
        <v>45</v>
      </c>
      <c r="B63" s="87" t="s">
        <v>117</v>
      </c>
      <c r="C63" s="88">
        <v>0</v>
      </c>
      <c r="D63" s="89">
        <v>0</v>
      </c>
      <c r="E63" s="90"/>
      <c r="F63" s="91">
        <v>0</v>
      </c>
      <c r="G63" s="92">
        <v>0</v>
      </c>
      <c r="H63" s="20">
        <f t="shared" si="21"/>
        <v>0</v>
      </c>
      <c r="I63" s="89">
        <v>0</v>
      </c>
      <c r="J63" s="89">
        <v>0</v>
      </c>
      <c r="K63" s="93">
        <v>0</v>
      </c>
      <c r="L63" s="15">
        <v>0</v>
      </c>
      <c r="M63" s="23">
        <f t="shared" si="6"/>
        <v>0</v>
      </c>
      <c r="N63" s="24">
        <f t="shared" si="22"/>
        <v>0</v>
      </c>
      <c r="O63" s="17">
        <v>0</v>
      </c>
      <c r="Q63" s="35"/>
    </row>
    <row r="64" spans="1:17" s="77" customFormat="1" ht="31.5" customHeight="1" thickBot="1" x14ac:dyDescent="0.25">
      <c r="A64" s="78"/>
      <c r="B64" s="82" t="s">
        <v>113</v>
      </c>
      <c r="C64" s="86">
        <f>C50+C45+C43+C27+C18+C22+C8</f>
        <v>973593066.23348069</v>
      </c>
      <c r="D64" s="83">
        <f>D9+D50</f>
        <v>0</v>
      </c>
      <c r="E64" s="83">
        <f t="shared" ref="E64:J64" si="25">E8+E18+E22+E27+E43+E45+E50+E61</f>
        <v>104610765</v>
      </c>
      <c r="F64" s="83">
        <f t="shared" si="25"/>
        <v>29281983</v>
      </c>
      <c r="G64" s="83">
        <f t="shared" si="25"/>
        <v>29281983</v>
      </c>
      <c r="H64" s="83">
        <f t="shared" si="25"/>
        <v>1078203831.2334807</v>
      </c>
      <c r="I64" s="83">
        <f t="shared" si="25"/>
        <v>175172322</v>
      </c>
      <c r="J64" s="83">
        <f t="shared" si="25"/>
        <v>96258809</v>
      </c>
      <c r="K64" s="83">
        <f>K50+K45+K27+K22+K18+K8</f>
        <v>271431131</v>
      </c>
      <c r="L64" s="84">
        <f t="shared" si="1"/>
        <v>0.2517438012527547</v>
      </c>
      <c r="M64" s="83">
        <f>M8+M18+M22+M27+M43+M45+M50+M61</f>
        <v>271431131</v>
      </c>
      <c r="N64" s="83">
        <f>N8+N18+N22+N27+N45+N43+N50+N61</f>
        <v>806772700.23348057</v>
      </c>
      <c r="O64" s="85">
        <f t="shared" si="15"/>
        <v>0.74825619874724525</v>
      </c>
    </row>
    <row r="65" spans="1:17" ht="35.25" customHeight="1" thickBot="1" x14ac:dyDescent="0.3">
      <c r="A65" s="81" t="s">
        <v>114</v>
      </c>
      <c r="B65" s="369" t="s">
        <v>115</v>
      </c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1"/>
      <c r="Q65" s="38"/>
    </row>
    <row r="66" spans="1:17" x14ac:dyDescent="0.2">
      <c r="K66" s="38"/>
    </row>
    <row r="67" spans="1:17" x14ac:dyDescent="0.2">
      <c r="D67" s="38"/>
      <c r="F67" s="38"/>
      <c r="G67" s="38"/>
      <c r="K67" s="38"/>
      <c r="N67" s="38"/>
    </row>
    <row r="68" spans="1:17" x14ac:dyDescent="0.2">
      <c r="G68" s="38"/>
      <c r="I68" s="38"/>
      <c r="J68" s="40"/>
      <c r="N68" s="38"/>
    </row>
    <row r="69" spans="1:17" x14ac:dyDescent="0.2">
      <c r="D69" s="38"/>
      <c r="J69" s="38"/>
      <c r="L69" s="38"/>
      <c r="N69" s="38"/>
    </row>
    <row r="70" spans="1:17" x14ac:dyDescent="0.2">
      <c r="H70" s="38"/>
      <c r="J70" s="38"/>
      <c r="N70" s="38"/>
    </row>
    <row r="71" spans="1:17" x14ac:dyDescent="0.2">
      <c r="J71" s="38"/>
    </row>
  </sheetData>
  <mergeCells count="5">
    <mergeCell ref="A1:O1"/>
    <mergeCell ref="A2:O2"/>
    <mergeCell ref="A3:O3"/>
    <mergeCell ref="L5:L6"/>
    <mergeCell ref="B65:O65"/>
  </mergeCells>
  <printOptions horizontalCentered="1" verticalCentered="1"/>
  <pageMargins left="0.23622047244094491" right="0.23622047244094491" top="0.39370078740157483" bottom="0.98425196850393704" header="0" footer="0"/>
  <pageSetup paperSize="14" scale="4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zoomScale="90" zoomScaleNormal="90" zoomScaleSheetLayoutView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11" sqref="A11:XFD11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16" style="1" hidden="1" customWidth="1"/>
    <col min="12" max="12" width="6" style="1" bestFit="1" customWidth="1"/>
    <col min="13" max="13" width="17.375" style="39" customWidth="1"/>
    <col min="14" max="14" width="16.25" style="1" bestFit="1" customWidth="1"/>
    <col min="15" max="15" width="8.5" style="1" customWidth="1"/>
    <col min="16" max="16" width="11" style="1"/>
    <col min="17" max="17" width="10.125" style="1" bestFit="1" customWidth="1"/>
    <col min="18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5" ht="18" x14ac:dyDescent="0.2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</row>
    <row r="2" spans="1:15" ht="18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5" ht="18" x14ac:dyDescent="0.25">
      <c r="A3" s="366" t="s">
        <v>208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5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4"/>
      <c r="M4" s="5"/>
      <c r="N4" s="4"/>
      <c r="O4" s="3"/>
    </row>
    <row r="5" spans="1:15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7" t="s">
        <v>12</v>
      </c>
      <c r="L5" s="367" t="s">
        <v>13</v>
      </c>
      <c r="M5" s="50" t="s">
        <v>9</v>
      </c>
      <c r="N5" s="47" t="s">
        <v>14</v>
      </c>
      <c r="O5" s="51" t="s">
        <v>13</v>
      </c>
    </row>
    <row r="6" spans="1:15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54" t="s">
        <v>18</v>
      </c>
      <c r="L6" s="368"/>
      <c r="M6" s="58" t="s">
        <v>18</v>
      </c>
      <c r="N6" s="54" t="s">
        <v>19</v>
      </c>
      <c r="O6" s="59"/>
    </row>
    <row r="7" spans="1:15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9"/>
      <c r="M7" s="12"/>
      <c r="N7" s="13"/>
      <c r="O7" s="14"/>
    </row>
    <row r="8" spans="1:15" s="74" customFormat="1" ht="27.75" customHeight="1" x14ac:dyDescent="0.2">
      <c r="A8" s="63" t="s">
        <v>20</v>
      </c>
      <c r="B8" s="73" t="s">
        <v>21</v>
      </c>
      <c r="C8" s="65">
        <f t="shared" ref="C8:H8" si="0">SUM(C9:C17)</f>
        <v>657894826.91321981</v>
      </c>
      <c r="D8" s="65">
        <f t="shared" si="0"/>
        <v>0</v>
      </c>
      <c r="E8" s="65">
        <f t="shared" si="0"/>
        <v>27610765</v>
      </c>
      <c r="F8" s="65">
        <f t="shared" si="0"/>
        <v>0</v>
      </c>
      <c r="G8" s="65">
        <f t="shared" si="0"/>
        <v>28650007</v>
      </c>
      <c r="H8" s="65">
        <f t="shared" si="0"/>
        <v>656855584.91321981</v>
      </c>
      <c r="I8" s="65">
        <f>I9+I10+I11+I12+I13+I14+I15+I16+I17</f>
        <v>39180966</v>
      </c>
      <c r="J8" s="65">
        <f>SUM(J9:J17)</f>
        <v>42225089</v>
      </c>
      <c r="K8" s="65">
        <f>K9+K10+K11+K12+K13+K14+K15+K16+K17</f>
        <v>81406055</v>
      </c>
      <c r="L8" s="66">
        <f t="shared" ref="L8:L64" si="1">K8/H8</f>
        <v>0.12393295706050049</v>
      </c>
      <c r="M8" s="67">
        <f>I8+J8</f>
        <v>81406055</v>
      </c>
      <c r="N8" s="65">
        <f>SUM(N9:N17)</f>
        <v>575449529.91321969</v>
      </c>
      <c r="O8" s="68">
        <f t="shared" ref="O8:O32" si="2">N8/H8</f>
        <v>0.87606704293949933</v>
      </c>
    </row>
    <row r="9" spans="1:15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46"/>
      <c r="E9" s="22">
        <v>27610765</v>
      </c>
      <c r="F9" s="34"/>
      <c r="G9" s="60">
        <v>28650007</v>
      </c>
      <c r="H9" s="20">
        <f>C9-D9+E9+F9-G9</f>
        <v>509457322.20000005</v>
      </c>
      <c r="I9" s="21">
        <f>ENERO!J9</f>
        <v>33440088</v>
      </c>
      <c r="J9" s="41">
        <f>'LIBRO DE PRESUPUESTO'!J8</f>
        <v>39390167</v>
      </c>
      <c r="K9" s="20">
        <f>SUM(I9:J9)</f>
        <v>72830255</v>
      </c>
      <c r="L9" s="15">
        <f t="shared" si="1"/>
        <v>0.14295653792057716</v>
      </c>
      <c r="M9" s="23">
        <f>J9+I9</f>
        <v>72830255</v>
      </c>
      <c r="N9" s="24">
        <f t="shared" ref="N9:N17" si="3">H9-K9</f>
        <v>436627067.20000005</v>
      </c>
      <c r="O9" s="17">
        <f t="shared" si="2"/>
        <v>0.85704346207942284</v>
      </c>
    </row>
    <row r="10" spans="1:15" ht="15" x14ac:dyDescent="0.25">
      <c r="A10" s="18" t="s">
        <v>24</v>
      </c>
      <c r="B10" s="19" t="s">
        <v>25</v>
      </c>
      <c r="C10" s="215">
        <v>0</v>
      </c>
      <c r="D10" s="346"/>
      <c r="E10" s="22"/>
      <c r="F10" s="34"/>
      <c r="G10" s="61"/>
      <c r="H10" s="20">
        <f t="shared" ref="H10:H21" si="4">C10-D10+E10+F10-G10</f>
        <v>0</v>
      </c>
      <c r="I10" s="21">
        <f>ENERO!J10</f>
        <v>0</v>
      </c>
      <c r="J10" s="21">
        <v>0</v>
      </c>
      <c r="K10" s="20">
        <f t="shared" ref="K10:K21" si="5">SUM(I10:J10)</f>
        <v>0</v>
      </c>
      <c r="L10" s="15">
        <v>0</v>
      </c>
      <c r="M10" s="23">
        <f t="shared" ref="M10:M63" si="6">J10+I10</f>
        <v>0</v>
      </c>
      <c r="N10" s="24">
        <f t="shared" si="3"/>
        <v>0</v>
      </c>
      <c r="O10" s="17">
        <v>0</v>
      </c>
    </row>
    <row r="11" spans="1:15" ht="15" x14ac:dyDescent="0.25">
      <c r="A11" s="18" t="s">
        <v>26</v>
      </c>
      <c r="B11" s="19" t="s">
        <v>27</v>
      </c>
      <c r="C11" s="215">
        <v>1077494.3999999999</v>
      </c>
      <c r="D11" s="346"/>
      <c r="E11" s="22"/>
      <c r="F11" s="34"/>
      <c r="G11" s="61"/>
      <c r="H11" s="20">
        <f t="shared" si="4"/>
        <v>1077494.3999999999</v>
      </c>
      <c r="I11" s="21">
        <f>ENERO!J11</f>
        <v>83140</v>
      </c>
      <c r="J11" s="21">
        <f>'LIBRO DE PRESUPUESTO'!J23+'LIBRO DE PRESUPUESTO'!J24</f>
        <v>55427</v>
      </c>
      <c r="K11" s="20">
        <f t="shared" si="5"/>
        <v>138567</v>
      </c>
      <c r="L11" s="15">
        <f t="shared" si="1"/>
        <v>0.1286011324049573</v>
      </c>
      <c r="M11" s="23">
        <f t="shared" si="6"/>
        <v>138567</v>
      </c>
      <c r="N11" s="24">
        <f t="shared" si="3"/>
        <v>938927.39999999991</v>
      </c>
      <c r="O11" s="17">
        <f t="shared" si="2"/>
        <v>0.8713988675950427</v>
      </c>
    </row>
    <row r="12" spans="1:15" ht="15.75" customHeight="1" x14ac:dyDescent="0.25">
      <c r="A12" s="18" t="s">
        <v>28</v>
      </c>
      <c r="B12" s="19" t="s">
        <v>29</v>
      </c>
      <c r="C12" s="215">
        <v>1484049.6</v>
      </c>
      <c r="D12" s="346"/>
      <c r="E12" s="22"/>
      <c r="F12" s="34"/>
      <c r="G12" s="61"/>
      <c r="H12" s="20">
        <f t="shared" si="4"/>
        <v>1484049.6</v>
      </c>
      <c r="I12" s="21">
        <f>ENERO!J12</f>
        <v>114510</v>
      </c>
      <c r="J12" s="21">
        <f>'LIBRO DE PRESUPUESTO'!J38+'LIBRO DE PRESUPUESTO'!J39</f>
        <v>74022</v>
      </c>
      <c r="K12" s="20">
        <f t="shared" si="5"/>
        <v>188532</v>
      </c>
      <c r="L12" s="15">
        <f t="shared" si="1"/>
        <v>0.1270388806411861</v>
      </c>
      <c r="M12" s="23">
        <f t="shared" si="6"/>
        <v>188532</v>
      </c>
      <c r="N12" s="24">
        <f t="shared" si="3"/>
        <v>1295517.6000000001</v>
      </c>
      <c r="O12" s="17">
        <f t="shared" si="2"/>
        <v>0.87296111935881393</v>
      </c>
    </row>
    <row r="13" spans="1:15" ht="15" x14ac:dyDescent="0.25">
      <c r="A13" s="18" t="s">
        <v>30</v>
      </c>
      <c r="B13" s="19" t="s">
        <v>31</v>
      </c>
      <c r="C13" s="215">
        <v>15036740.388045937</v>
      </c>
      <c r="D13" s="346"/>
      <c r="E13" s="22"/>
      <c r="F13" s="34"/>
      <c r="G13" s="61"/>
      <c r="H13" s="20">
        <f t="shared" si="4"/>
        <v>15036740.388045937</v>
      </c>
      <c r="I13" s="21">
        <f>ENERO!J13</f>
        <v>0</v>
      </c>
      <c r="J13" s="41">
        <f>'LIBRO DE PRESUPUESTO'!J51+'LIBRO DE PRESUPUESTO'!J52+'LIBRO DE PRESUPUESTO'!J53</f>
        <v>2705473</v>
      </c>
      <c r="K13" s="20">
        <f t="shared" si="5"/>
        <v>2705473</v>
      </c>
      <c r="L13" s="15">
        <f t="shared" si="1"/>
        <v>0.17992416775053355</v>
      </c>
      <c r="M13" s="23">
        <f t="shared" si="6"/>
        <v>2705473</v>
      </c>
      <c r="N13" s="24">
        <f t="shared" si="3"/>
        <v>12331267.388045937</v>
      </c>
      <c r="O13" s="17">
        <f t="shared" si="2"/>
        <v>0.82007583224946645</v>
      </c>
    </row>
    <row r="14" spans="1:15" ht="15" x14ac:dyDescent="0.25">
      <c r="A14" s="18" t="s">
        <v>32</v>
      </c>
      <c r="B14" s="19" t="s">
        <v>33</v>
      </c>
      <c r="C14" s="215">
        <v>22003952.024810392</v>
      </c>
      <c r="D14" s="346"/>
      <c r="E14" s="22"/>
      <c r="F14" s="34"/>
      <c r="G14" s="61"/>
      <c r="H14" s="20">
        <f t="shared" si="4"/>
        <v>22003952.024810392</v>
      </c>
      <c r="I14" s="21">
        <f>ENERO!J14</f>
        <v>0</v>
      </c>
      <c r="J14" s="42"/>
      <c r="K14" s="20">
        <f t="shared" si="5"/>
        <v>0</v>
      </c>
      <c r="L14" s="15">
        <f t="shared" si="1"/>
        <v>0</v>
      </c>
      <c r="M14" s="23">
        <f t="shared" si="6"/>
        <v>0</v>
      </c>
      <c r="N14" s="24">
        <f t="shared" si="3"/>
        <v>22003952.024810392</v>
      </c>
      <c r="O14" s="17">
        <f t="shared" si="2"/>
        <v>1</v>
      </c>
    </row>
    <row r="15" spans="1:15" ht="15" x14ac:dyDescent="0.25">
      <c r="A15" s="18" t="s">
        <v>34</v>
      </c>
      <c r="B15" s="19" t="s">
        <v>35</v>
      </c>
      <c r="C15" s="215">
        <v>22920783.359177493</v>
      </c>
      <c r="D15" s="346"/>
      <c r="E15" s="22"/>
      <c r="F15" s="34"/>
      <c r="G15" s="61"/>
      <c r="H15" s="20">
        <f t="shared" si="4"/>
        <v>22920783.359177493</v>
      </c>
      <c r="I15" s="21">
        <f>ENERO!J15</f>
        <v>5543228</v>
      </c>
      <c r="J15" s="41">
        <v>0</v>
      </c>
      <c r="K15" s="20">
        <f t="shared" si="5"/>
        <v>5543228</v>
      </c>
      <c r="L15" s="15">
        <f t="shared" si="1"/>
        <v>0.24184286868103436</v>
      </c>
      <c r="M15" s="23">
        <f t="shared" si="6"/>
        <v>5543228</v>
      </c>
      <c r="N15" s="24">
        <f t="shared" si="3"/>
        <v>17377555.359177493</v>
      </c>
      <c r="O15" s="17">
        <f t="shared" si="2"/>
        <v>0.75815713131896567</v>
      </c>
    </row>
    <row r="16" spans="1:15" ht="15" x14ac:dyDescent="0.25">
      <c r="A16" s="26">
        <v>2020110109</v>
      </c>
      <c r="B16" s="19" t="s">
        <v>36</v>
      </c>
      <c r="C16" s="215">
        <v>37123610.942899451</v>
      </c>
      <c r="D16" s="346"/>
      <c r="E16" s="22"/>
      <c r="F16" s="34"/>
      <c r="G16" s="61"/>
      <c r="H16" s="20">
        <f t="shared" si="4"/>
        <v>37123610.942899451</v>
      </c>
      <c r="I16" s="21">
        <f>ENERO!J16</f>
        <v>0</v>
      </c>
      <c r="J16" s="41"/>
      <c r="K16" s="20">
        <f>SUM(I16:J16)</f>
        <v>0</v>
      </c>
      <c r="L16" s="15">
        <f t="shared" si="1"/>
        <v>0</v>
      </c>
      <c r="M16" s="23">
        <f t="shared" si="6"/>
        <v>0</v>
      </c>
      <c r="N16" s="24">
        <f t="shared" si="3"/>
        <v>37123610.942899451</v>
      </c>
      <c r="O16" s="17">
        <f t="shared" si="2"/>
        <v>1</v>
      </c>
    </row>
    <row r="17" spans="1:15" ht="15" x14ac:dyDescent="0.25">
      <c r="A17" s="26">
        <v>2020110108</v>
      </c>
      <c r="B17" s="19" t="s">
        <v>37</v>
      </c>
      <c r="C17" s="215">
        <v>47751631.998286448</v>
      </c>
      <c r="D17" s="346"/>
      <c r="E17" s="22"/>
      <c r="F17" s="34"/>
      <c r="G17" s="61"/>
      <c r="H17" s="20">
        <f t="shared" si="4"/>
        <v>47751631.998286448</v>
      </c>
      <c r="I17" s="21">
        <f>ENERO!J17</f>
        <v>0</v>
      </c>
      <c r="J17" s="41"/>
      <c r="K17" s="20">
        <f t="shared" si="5"/>
        <v>0</v>
      </c>
      <c r="L17" s="15">
        <f t="shared" si="1"/>
        <v>0</v>
      </c>
      <c r="M17" s="23">
        <f t="shared" si="6"/>
        <v>0</v>
      </c>
      <c r="N17" s="24">
        <f t="shared" si="3"/>
        <v>47751631.998286448</v>
      </c>
      <c r="O17" s="17">
        <f t="shared" si="2"/>
        <v>1</v>
      </c>
    </row>
    <row r="18" spans="1:15" s="69" customFormat="1" ht="27.75" customHeight="1" x14ac:dyDescent="0.2">
      <c r="A18" s="63" t="s">
        <v>38</v>
      </c>
      <c r="B18" s="73" t="s">
        <v>39</v>
      </c>
      <c r="C18" s="65">
        <f t="shared" ref="C18:I18" si="7">SUM(C19:C21)</f>
        <v>12849993</v>
      </c>
      <c r="D18" s="65">
        <f t="shared" si="7"/>
        <v>0</v>
      </c>
      <c r="E18" s="65">
        <f t="shared" si="7"/>
        <v>0</v>
      </c>
      <c r="F18" s="65">
        <f t="shared" si="7"/>
        <v>27650007</v>
      </c>
      <c r="G18" s="65">
        <f t="shared" si="7"/>
        <v>0</v>
      </c>
      <c r="H18" s="65">
        <f t="shared" si="7"/>
        <v>40500000</v>
      </c>
      <c r="I18" s="65">
        <f t="shared" si="7"/>
        <v>34832100</v>
      </c>
      <c r="J18" s="65">
        <f>SUM(J19:J21)</f>
        <v>0</v>
      </c>
      <c r="K18" s="65">
        <f>K19+K20+K21</f>
        <v>34832100</v>
      </c>
      <c r="L18" s="66">
        <f t="shared" si="1"/>
        <v>0.86005185185185185</v>
      </c>
      <c r="M18" s="72">
        <f t="shared" si="6"/>
        <v>34832100</v>
      </c>
      <c r="N18" s="72">
        <f>SUM(N19:N21)</f>
        <v>5667900</v>
      </c>
      <c r="O18" s="68">
        <f t="shared" si="2"/>
        <v>0.13994814814814815</v>
      </c>
    </row>
    <row r="19" spans="1:15" ht="15" x14ac:dyDescent="0.25">
      <c r="A19" s="18" t="s">
        <v>40</v>
      </c>
      <c r="B19" s="28" t="s">
        <v>41</v>
      </c>
      <c r="C19" s="193">
        <f>2300000+10549993</f>
        <v>12849993</v>
      </c>
      <c r="D19" s="21"/>
      <c r="E19" s="22"/>
      <c r="F19" s="34">
        <v>27650007</v>
      </c>
      <c r="G19" s="61"/>
      <c r="H19" s="20">
        <f t="shared" si="4"/>
        <v>40500000</v>
      </c>
      <c r="I19" s="21">
        <f>ENERO!J19</f>
        <v>34832100</v>
      </c>
      <c r="J19" s="21">
        <v>0</v>
      </c>
      <c r="K19" s="20">
        <f t="shared" si="5"/>
        <v>34832100</v>
      </c>
      <c r="L19" s="15">
        <f t="shared" si="1"/>
        <v>0.86005185185185185</v>
      </c>
      <c r="M19" s="23">
        <f t="shared" si="6"/>
        <v>34832100</v>
      </c>
      <c r="N19" s="24">
        <f>H19-K19</f>
        <v>5667900</v>
      </c>
      <c r="O19" s="17">
        <f>N19/H19</f>
        <v>0.13994814814814815</v>
      </c>
    </row>
    <row r="20" spans="1:15" ht="15" x14ac:dyDescent="0.25">
      <c r="A20" s="18" t="s">
        <v>42</v>
      </c>
      <c r="B20" s="19" t="s">
        <v>43</v>
      </c>
      <c r="C20" s="30"/>
      <c r="D20" s="21"/>
      <c r="E20" s="22"/>
      <c r="F20" s="34"/>
      <c r="G20" s="61"/>
      <c r="H20" s="20">
        <f t="shared" si="4"/>
        <v>0</v>
      </c>
      <c r="I20" s="21">
        <f>ENERO!J20</f>
        <v>0</v>
      </c>
      <c r="J20" s="21">
        <v>0</v>
      </c>
      <c r="K20" s="20">
        <f t="shared" si="5"/>
        <v>0</v>
      </c>
      <c r="L20" s="15">
        <v>0</v>
      </c>
      <c r="M20" s="23">
        <f t="shared" si="6"/>
        <v>0</v>
      </c>
      <c r="N20" s="24">
        <f>H20-K20</f>
        <v>0</v>
      </c>
      <c r="O20" s="17">
        <v>0</v>
      </c>
    </row>
    <row r="21" spans="1:15" ht="15" x14ac:dyDescent="0.25">
      <c r="A21" s="18" t="s">
        <v>44</v>
      </c>
      <c r="B21" s="31" t="s">
        <v>45</v>
      </c>
      <c r="C21" s="29"/>
      <c r="D21" s="21"/>
      <c r="E21" s="22"/>
      <c r="F21" s="34"/>
      <c r="G21" s="61"/>
      <c r="H21" s="20">
        <f t="shared" si="4"/>
        <v>0</v>
      </c>
      <c r="I21" s="21">
        <f>ENERO!J21</f>
        <v>0</v>
      </c>
      <c r="J21" s="25">
        <v>0</v>
      </c>
      <c r="K21" s="20">
        <f t="shared" si="5"/>
        <v>0</v>
      </c>
      <c r="L21" s="15">
        <v>0</v>
      </c>
      <c r="M21" s="23">
        <f t="shared" si="6"/>
        <v>0</v>
      </c>
      <c r="N21" s="24">
        <f>H21-K21</f>
        <v>0</v>
      </c>
      <c r="O21" s="17">
        <v>0</v>
      </c>
    </row>
    <row r="22" spans="1:15" s="69" customFormat="1" ht="27.75" customHeight="1" x14ac:dyDescent="0.2">
      <c r="A22" s="63" t="s">
        <v>46</v>
      </c>
      <c r="B22" s="64" t="s">
        <v>47</v>
      </c>
      <c r="C22" s="65">
        <f t="shared" ref="C22:J22" si="8">SUM(C23:C26)</f>
        <v>16200000</v>
      </c>
      <c r="D22" s="65">
        <f t="shared" si="8"/>
        <v>0</v>
      </c>
      <c r="E22" s="65">
        <f t="shared" si="8"/>
        <v>20000000</v>
      </c>
      <c r="F22" s="65">
        <f t="shared" si="8"/>
        <v>0</v>
      </c>
      <c r="G22" s="65">
        <f t="shared" si="8"/>
        <v>0</v>
      </c>
      <c r="H22" s="65">
        <f t="shared" si="8"/>
        <v>36200000</v>
      </c>
      <c r="I22" s="65">
        <f t="shared" si="8"/>
        <v>1599800</v>
      </c>
      <c r="J22" s="65">
        <f t="shared" si="8"/>
        <v>14395000</v>
      </c>
      <c r="K22" s="65">
        <f>K23+K24+K25+K26</f>
        <v>15994800</v>
      </c>
      <c r="L22" s="66">
        <f t="shared" si="1"/>
        <v>0.44184530386740334</v>
      </c>
      <c r="M22" s="72">
        <f t="shared" si="6"/>
        <v>15994800</v>
      </c>
      <c r="N22" s="65">
        <f>SUM(N23:N26)</f>
        <v>20205200</v>
      </c>
      <c r="O22" s="68">
        <f t="shared" si="2"/>
        <v>0.55815469613259672</v>
      </c>
    </row>
    <row r="23" spans="1:15" ht="15" x14ac:dyDescent="0.25">
      <c r="A23" s="18" t="s">
        <v>48</v>
      </c>
      <c r="B23" s="31" t="s">
        <v>49</v>
      </c>
      <c r="C23" s="193">
        <v>3000000</v>
      </c>
      <c r="D23" s="21"/>
      <c r="E23" s="22"/>
      <c r="F23" s="34"/>
      <c r="G23" s="61"/>
      <c r="H23" s="20">
        <f t="shared" ref="H23:H26" si="9">C23-D23+E23+F23-G23</f>
        <v>3000000</v>
      </c>
      <c r="I23" s="21">
        <f>ENERO!J23</f>
        <v>0</v>
      </c>
      <c r="J23" s="25">
        <v>0</v>
      </c>
      <c r="K23" s="20">
        <f t="shared" ref="K23:K60" si="10">SUM(I23:J23)</f>
        <v>0</v>
      </c>
      <c r="L23" s="15">
        <v>0</v>
      </c>
      <c r="M23" s="16">
        <f t="shared" si="6"/>
        <v>0</v>
      </c>
      <c r="N23" s="24">
        <f t="shared" ref="N23:N26" si="11">H23-K23</f>
        <v>3000000</v>
      </c>
      <c r="O23" s="17">
        <v>0</v>
      </c>
    </row>
    <row r="24" spans="1:15" ht="15" x14ac:dyDescent="0.25">
      <c r="A24" s="18" t="s">
        <v>50</v>
      </c>
      <c r="B24" s="32" t="s">
        <v>51</v>
      </c>
      <c r="C24" s="193">
        <v>12000000</v>
      </c>
      <c r="D24" s="21"/>
      <c r="E24" s="22">
        <v>20000000</v>
      </c>
      <c r="F24" s="34"/>
      <c r="G24" s="61"/>
      <c r="H24" s="20">
        <f t="shared" si="9"/>
        <v>32000000</v>
      </c>
      <c r="I24" s="21">
        <f>ENERO!J24</f>
        <v>1599800</v>
      </c>
      <c r="J24" s="21">
        <f>'LIBRO DE PRESUPUESTO'!J144</f>
        <v>14395000</v>
      </c>
      <c r="K24" s="20">
        <f t="shared" si="10"/>
        <v>15994800</v>
      </c>
      <c r="L24" s="15">
        <f t="shared" si="1"/>
        <v>0.49983749999999999</v>
      </c>
      <c r="M24" s="23">
        <f t="shared" si="6"/>
        <v>15994800</v>
      </c>
      <c r="N24" s="24">
        <f t="shared" si="11"/>
        <v>16005200</v>
      </c>
      <c r="O24" s="33">
        <f t="shared" si="2"/>
        <v>0.50016249999999995</v>
      </c>
    </row>
    <row r="25" spans="1:15" ht="15" x14ac:dyDescent="0.25">
      <c r="A25" s="18" t="s">
        <v>52</v>
      </c>
      <c r="B25" s="31" t="s">
        <v>53</v>
      </c>
      <c r="C25" s="193">
        <v>1200000</v>
      </c>
      <c r="D25" s="21"/>
      <c r="E25" s="22"/>
      <c r="F25" s="34"/>
      <c r="G25" s="62"/>
      <c r="H25" s="20">
        <f t="shared" si="9"/>
        <v>1200000</v>
      </c>
      <c r="I25" s="21">
        <f>ENERO!J25</f>
        <v>0</v>
      </c>
      <c r="J25" s="21">
        <v>0</v>
      </c>
      <c r="K25" s="20">
        <f t="shared" si="10"/>
        <v>0</v>
      </c>
      <c r="L25" s="15">
        <f t="shared" si="1"/>
        <v>0</v>
      </c>
      <c r="M25" s="16">
        <f t="shared" si="6"/>
        <v>0</v>
      </c>
      <c r="N25" s="24">
        <f t="shared" si="11"/>
        <v>1200000</v>
      </c>
      <c r="O25" s="33">
        <f>N25/H25</f>
        <v>1</v>
      </c>
    </row>
    <row r="26" spans="1:15" ht="15" x14ac:dyDescent="0.25">
      <c r="A26" s="18" t="s">
        <v>54</v>
      </c>
      <c r="B26" s="31" t="s">
        <v>55</v>
      </c>
      <c r="C26" s="193">
        <v>0</v>
      </c>
      <c r="D26" s="21"/>
      <c r="E26" s="22"/>
      <c r="F26" s="34"/>
      <c r="G26" s="61"/>
      <c r="H26" s="20">
        <f t="shared" si="9"/>
        <v>0</v>
      </c>
      <c r="I26" s="21">
        <f>ENERO!J26</f>
        <v>0</v>
      </c>
      <c r="J26" s="21"/>
      <c r="K26" s="20">
        <f t="shared" si="10"/>
        <v>0</v>
      </c>
      <c r="L26" s="15">
        <v>0</v>
      </c>
      <c r="M26" s="16">
        <f t="shared" si="6"/>
        <v>0</v>
      </c>
      <c r="N26" s="24">
        <f t="shared" si="11"/>
        <v>0</v>
      </c>
      <c r="O26" s="33">
        <v>0</v>
      </c>
    </row>
    <row r="27" spans="1:15" s="69" customFormat="1" ht="27.75" customHeight="1" x14ac:dyDescent="0.2">
      <c r="A27" s="63" t="s">
        <v>56</v>
      </c>
      <c r="B27" s="64" t="s">
        <v>57</v>
      </c>
      <c r="C27" s="65">
        <f t="shared" ref="C27:J27" si="12">SUM(C28:C42)</f>
        <v>75448328</v>
      </c>
      <c r="D27" s="65">
        <f t="shared" si="12"/>
        <v>0</v>
      </c>
      <c r="E27" s="65">
        <f t="shared" si="12"/>
        <v>57000000</v>
      </c>
      <c r="F27" s="65">
        <f t="shared" si="12"/>
        <v>0</v>
      </c>
      <c r="G27" s="65">
        <f t="shared" si="12"/>
        <v>0</v>
      </c>
      <c r="H27" s="65">
        <f t="shared" si="12"/>
        <v>132448328</v>
      </c>
      <c r="I27" s="65">
        <f t="shared" si="12"/>
        <v>3633632</v>
      </c>
      <c r="J27" s="65">
        <f t="shared" si="12"/>
        <v>13898026</v>
      </c>
      <c r="K27" s="65">
        <f>K28+K29+K30+K31+K32+K33+K34+K35+K36+K37+K38+K39+K40</f>
        <v>17531658</v>
      </c>
      <c r="L27" s="66">
        <f t="shared" si="1"/>
        <v>0.13236601975073631</v>
      </c>
      <c r="M27" s="67">
        <f>I27+J27</f>
        <v>17531658</v>
      </c>
      <c r="N27" s="72">
        <f>SUM(N28:N42)</f>
        <v>114916670</v>
      </c>
      <c r="O27" s="68">
        <f t="shared" si="2"/>
        <v>0.86763398024926375</v>
      </c>
    </row>
    <row r="28" spans="1:15" ht="15" x14ac:dyDescent="0.25">
      <c r="A28" s="18" t="s">
        <v>58</v>
      </c>
      <c r="B28" s="31" t="s">
        <v>59</v>
      </c>
      <c r="C28" s="193">
        <v>180000</v>
      </c>
      <c r="D28" s="21"/>
      <c r="E28" s="22">
        <v>16000000</v>
      </c>
      <c r="F28" s="34"/>
      <c r="G28" s="61"/>
      <c r="H28" s="20">
        <f t="shared" ref="H28:H42" si="13">C28-D28+E28+F28-G28</f>
        <v>16180000</v>
      </c>
      <c r="I28" s="21">
        <f>ENERO!J28</f>
        <v>1200000</v>
      </c>
      <c r="J28" s="21">
        <v>0</v>
      </c>
      <c r="K28" s="20">
        <f t="shared" si="10"/>
        <v>1200000</v>
      </c>
      <c r="L28" s="15">
        <f t="shared" si="1"/>
        <v>7.4165636588380712E-2</v>
      </c>
      <c r="M28" s="23">
        <f t="shared" si="6"/>
        <v>1200000</v>
      </c>
      <c r="N28" s="24">
        <f t="shared" ref="N28:N39" si="14">H28-K28</f>
        <v>14980000</v>
      </c>
      <c r="O28" s="33">
        <f t="shared" si="2"/>
        <v>0.92583436341161929</v>
      </c>
    </row>
    <row r="29" spans="1:15" ht="15" x14ac:dyDescent="0.25">
      <c r="A29" s="18" t="s">
        <v>60</v>
      </c>
      <c r="B29" s="31" t="s">
        <v>61</v>
      </c>
      <c r="C29" s="193">
        <v>39298328</v>
      </c>
      <c r="D29" s="21"/>
      <c r="E29" s="22"/>
      <c r="F29" s="34"/>
      <c r="G29" s="61"/>
      <c r="H29" s="20">
        <f t="shared" si="13"/>
        <v>39298328</v>
      </c>
      <c r="I29" s="21">
        <f>ENERO!J29</f>
        <v>874615</v>
      </c>
      <c r="J29" s="21">
        <f>SUM('LIBRO DE PRESUPUESTO'!J189:J199)</f>
        <v>12542553</v>
      </c>
      <c r="K29" s="20">
        <f t="shared" si="10"/>
        <v>13417168</v>
      </c>
      <c r="L29" s="15">
        <f t="shared" si="1"/>
        <v>0.34141829138379626</v>
      </c>
      <c r="M29" s="23">
        <f>J29+I29</f>
        <v>13417168</v>
      </c>
      <c r="N29" s="24">
        <f t="shared" si="14"/>
        <v>25881160</v>
      </c>
      <c r="O29" s="33">
        <f t="shared" si="2"/>
        <v>0.65858170861620369</v>
      </c>
    </row>
    <row r="30" spans="1:15" ht="15" x14ac:dyDescent="0.25">
      <c r="A30" s="18" t="s">
        <v>62</v>
      </c>
      <c r="B30" s="31" t="s">
        <v>63</v>
      </c>
      <c r="C30" s="193">
        <v>1200000</v>
      </c>
      <c r="D30" s="21"/>
      <c r="E30" s="22"/>
      <c r="F30" s="34"/>
      <c r="G30" s="61"/>
      <c r="H30" s="20">
        <f t="shared" si="13"/>
        <v>1200000</v>
      </c>
      <c r="I30" s="21">
        <f>ENERO!J30</f>
        <v>200000</v>
      </c>
      <c r="J30" s="41">
        <v>0</v>
      </c>
      <c r="K30" s="20">
        <f t="shared" si="10"/>
        <v>200000</v>
      </c>
      <c r="L30" s="15">
        <f t="shared" si="1"/>
        <v>0.16666666666666666</v>
      </c>
      <c r="M30" s="23">
        <f t="shared" si="6"/>
        <v>200000</v>
      </c>
      <c r="N30" s="24">
        <f t="shared" si="14"/>
        <v>1000000</v>
      </c>
      <c r="O30" s="33">
        <f t="shared" si="2"/>
        <v>0.83333333333333337</v>
      </c>
    </row>
    <row r="31" spans="1:15" ht="15" x14ac:dyDescent="0.25">
      <c r="A31" s="18" t="s">
        <v>64</v>
      </c>
      <c r="B31" s="31" t="s">
        <v>65</v>
      </c>
      <c r="C31" s="193">
        <f>900000*12</f>
        <v>10800000</v>
      </c>
      <c r="D31" s="21"/>
      <c r="E31" s="22"/>
      <c r="F31" s="34"/>
      <c r="G31" s="61"/>
      <c r="H31" s="20">
        <f t="shared" si="13"/>
        <v>10800000</v>
      </c>
      <c r="I31" s="21">
        <f>ENERO!J31</f>
        <v>720300</v>
      </c>
      <c r="J31" s="41">
        <f>'LIBRO DE PRESUPUESTO'!J265</f>
        <v>693300</v>
      </c>
      <c r="K31" s="20">
        <f t="shared" si="10"/>
        <v>1413600</v>
      </c>
      <c r="L31" s="15">
        <f t="shared" si="1"/>
        <v>0.13088888888888889</v>
      </c>
      <c r="M31" s="23">
        <f t="shared" si="6"/>
        <v>1413600</v>
      </c>
      <c r="N31" s="24">
        <f t="shared" si="14"/>
        <v>9386400</v>
      </c>
      <c r="O31" s="17">
        <f t="shared" si="2"/>
        <v>0.86911111111111106</v>
      </c>
    </row>
    <row r="32" spans="1:15" ht="15" x14ac:dyDescent="0.25">
      <c r="A32" s="18" t="s">
        <v>66</v>
      </c>
      <c r="B32" s="31" t="s">
        <v>67</v>
      </c>
      <c r="C32" s="193">
        <f>550000*12</f>
        <v>6600000</v>
      </c>
      <c r="D32" s="21"/>
      <c r="E32" s="22"/>
      <c r="F32" s="34"/>
      <c r="G32" s="61"/>
      <c r="H32" s="20">
        <f t="shared" si="13"/>
        <v>6600000</v>
      </c>
      <c r="I32" s="21">
        <f>ENERO!J32</f>
        <v>535667</v>
      </c>
      <c r="J32" s="41">
        <f>'LIBRO DE PRESUPUESTO'!J282+'LIBRO DE PRESUPUESTO'!J283+'LIBRO DE PRESUPUESTO'!J284</f>
        <v>529883</v>
      </c>
      <c r="K32" s="20">
        <f t="shared" si="10"/>
        <v>1065550</v>
      </c>
      <c r="L32" s="15">
        <f t="shared" si="1"/>
        <v>0.1614469696969697</v>
      </c>
      <c r="M32" s="23">
        <f t="shared" si="6"/>
        <v>1065550</v>
      </c>
      <c r="N32" s="24">
        <f t="shared" si="14"/>
        <v>5534450</v>
      </c>
      <c r="O32" s="17">
        <f t="shared" si="2"/>
        <v>0.8385530303030303</v>
      </c>
    </row>
    <row r="33" spans="1:17" ht="15" x14ac:dyDescent="0.25">
      <c r="A33" s="18" t="s">
        <v>68</v>
      </c>
      <c r="B33" s="31" t="s">
        <v>69</v>
      </c>
      <c r="C33" s="193">
        <f>160000*12</f>
        <v>1920000</v>
      </c>
      <c r="D33" s="21"/>
      <c r="E33" s="22"/>
      <c r="F33" s="34"/>
      <c r="G33" s="61"/>
      <c r="H33" s="20">
        <f t="shared" si="13"/>
        <v>1920000</v>
      </c>
      <c r="I33" s="21">
        <f>ENERO!J33</f>
        <v>103050</v>
      </c>
      <c r="J33" s="25">
        <f>'LIBRO DE PRESUPUESTO'!J307+'LIBRO DE PRESUPUESTO'!J308</f>
        <v>132290</v>
      </c>
      <c r="K33" s="20">
        <f t="shared" si="10"/>
        <v>235340</v>
      </c>
      <c r="L33" s="15">
        <f t="shared" si="1"/>
        <v>0.12257291666666667</v>
      </c>
      <c r="M33" s="23">
        <f t="shared" si="6"/>
        <v>235340</v>
      </c>
      <c r="N33" s="24">
        <f t="shared" si="14"/>
        <v>1684660</v>
      </c>
      <c r="O33" s="17">
        <v>0</v>
      </c>
    </row>
    <row r="34" spans="1:17" ht="15" x14ac:dyDescent="0.25">
      <c r="A34" s="18" t="s">
        <v>70</v>
      </c>
      <c r="B34" s="32" t="s">
        <v>71</v>
      </c>
      <c r="C34" s="193">
        <v>1500000</v>
      </c>
      <c r="D34" s="21"/>
      <c r="E34" s="22"/>
      <c r="F34" s="34"/>
      <c r="G34" s="61"/>
      <c r="H34" s="20">
        <f t="shared" si="13"/>
        <v>1500000</v>
      </c>
      <c r="I34" s="21">
        <f>ENERO!J34</f>
        <v>0</v>
      </c>
      <c r="J34" s="21">
        <v>0</v>
      </c>
      <c r="K34" s="20">
        <f t="shared" si="10"/>
        <v>0</v>
      </c>
      <c r="L34" s="15">
        <f t="shared" si="1"/>
        <v>0</v>
      </c>
      <c r="M34" s="23">
        <f t="shared" si="6"/>
        <v>0</v>
      </c>
      <c r="N34" s="24">
        <f t="shared" si="14"/>
        <v>1500000</v>
      </c>
      <c r="O34" s="17">
        <f t="shared" ref="O34:O64" si="15">N34/H34</f>
        <v>1</v>
      </c>
    </row>
    <row r="35" spans="1:17" ht="15" x14ac:dyDescent="0.25">
      <c r="A35" s="18" t="s">
        <v>72</v>
      </c>
      <c r="B35" s="31" t="s">
        <v>73</v>
      </c>
      <c r="C35" s="193">
        <v>0</v>
      </c>
      <c r="D35" s="21"/>
      <c r="E35" s="22"/>
      <c r="F35" s="36"/>
      <c r="G35" s="61"/>
      <c r="H35" s="20">
        <f t="shared" si="13"/>
        <v>0</v>
      </c>
      <c r="I35" s="21">
        <f>ENERO!J35</f>
        <v>0</v>
      </c>
      <c r="J35" s="21">
        <v>0</v>
      </c>
      <c r="K35" s="20">
        <f t="shared" si="10"/>
        <v>0</v>
      </c>
      <c r="L35" s="15">
        <v>0</v>
      </c>
      <c r="M35" s="23">
        <f t="shared" si="6"/>
        <v>0</v>
      </c>
      <c r="N35" s="24">
        <f t="shared" si="14"/>
        <v>0</v>
      </c>
      <c r="O35" s="17">
        <v>0</v>
      </c>
    </row>
    <row r="36" spans="1:17" ht="15" x14ac:dyDescent="0.25">
      <c r="A36" s="18" t="s">
        <v>74</v>
      </c>
      <c r="B36" s="31" t="s">
        <v>75</v>
      </c>
      <c r="C36" s="193">
        <v>8000000</v>
      </c>
      <c r="D36" s="21"/>
      <c r="E36" s="22"/>
      <c r="F36" s="34"/>
      <c r="G36" s="61"/>
      <c r="H36" s="20">
        <f t="shared" si="13"/>
        <v>8000000</v>
      </c>
      <c r="I36" s="21">
        <f>ENERO!J36</f>
        <v>0</v>
      </c>
      <c r="J36" s="43">
        <v>0</v>
      </c>
      <c r="K36" s="20">
        <f t="shared" si="10"/>
        <v>0</v>
      </c>
      <c r="L36" s="15">
        <f t="shared" si="1"/>
        <v>0</v>
      </c>
      <c r="M36" s="23">
        <f t="shared" si="6"/>
        <v>0</v>
      </c>
      <c r="N36" s="24">
        <f t="shared" si="14"/>
        <v>8000000</v>
      </c>
      <c r="O36" s="17">
        <f t="shared" si="15"/>
        <v>1</v>
      </c>
    </row>
    <row r="37" spans="1:17" ht="15" x14ac:dyDescent="0.25">
      <c r="A37" s="18" t="s">
        <v>76</v>
      </c>
      <c r="B37" s="32" t="s">
        <v>77</v>
      </c>
      <c r="C37" s="193">
        <v>5000000</v>
      </c>
      <c r="D37" s="21"/>
      <c r="E37" s="22">
        <v>20000000</v>
      </c>
      <c r="F37" s="34"/>
      <c r="G37" s="61"/>
      <c r="H37" s="20">
        <f t="shared" si="13"/>
        <v>25000000</v>
      </c>
      <c r="I37" s="21">
        <f>ENERO!J37</f>
        <v>0</v>
      </c>
      <c r="J37" s="43">
        <v>0</v>
      </c>
      <c r="K37" s="20">
        <f t="shared" si="10"/>
        <v>0</v>
      </c>
      <c r="L37" s="15">
        <f t="shared" si="1"/>
        <v>0</v>
      </c>
      <c r="M37" s="23">
        <f t="shared" si="6"/>
        <v>0</v>
      </c>
      <c r="N37" s="24">
        <f t="shared" si="14"/>
        <v>25000000</v>
      </c>
      <c r="O37" s="17">
        <f t="shared" si="15"/>
        <v>1</v>
      </c>
    </row>
    <row r="38" spans="1:17" ht="15" x14ac:dyDescent="0.25">
      <c r="A38" s="18" t="s">
        <v>78</v>
      </c>
      <c r="B38" s="31" t="s">
        <v>79</v>
      </c>
      <c r="C38" s="193">
        <v>0</v>
      </c>
      <c r="D38" s="21"/>
      <c r="E38" s="22">
        <v>3000000</v>
      </c>
      <c r="F38" s="34"/>
      <c r="G38" s="61"/>
      <c r="H38" s="20">
        <f t="shared" si="13"/>
        <v>3000000</v>
      </c>
      <c r="I38" s="21">
        <f>ENERO!J38</f>
        <v>0</v>
      </c>
      <c r="J38" s="43">
        <v>0</v>
      </c>
      <c r="K38" s="20">
        <f t="shared" si="10"/>
        <v>0</v>
      </c>
      <c r="L38" s="15">
        <f t="shared" si="1"/>
        <v>0</v>
      </c>
      <c r="M38" s="23">
        <f t="shared" si="6"/>
        <v>0</v>
      </c>
      <c r="N38" s="24">
        <f t="shared" si="14"/>
        <v>3000000</v>
      </c>
      <c r="O38" s="17">
        <f t="shared" si="15"/>
        <v>1</v>
      </c>
    </row>
    <row r="39" spans="1:17" ht="15" x14ac:dyDescent="0.25">
      <c r="A39" s="18" t="s">
        <v>80</v>
      </c>
      <c r="B39" s="31" t="s">
        <v>81</v>
      </c>
      <c r="C39" s="193">
        <v>0</v>
      </c>
      <c r="D39" s="21"/>
      <c r="E39" s="22">
        <v>15000000</v>
      </c>
      <c r="F39" s="34"/>
      <c r="G39" s="61"/>
      <c r="H39" s="20">
        <f t="shared" si="13"/>
        <v>15000000</v>
      </c>
      <c r="I39" s="21">
        <f>ENERO!J39</f>
        <v>0</v>
      </c>
      <c r="J39" s="21">
        <v>0</v>
      </c>
      <c r="K39" s="20">
        <f t="shared" si="10"/>
        <v>0</v>
      </c>
      <c r="L39" s="15">
        <f t="shared" si="1"/>
        <v>0</v>
      </c>
      <c r="M39" s="23">
        <f t="shared" si="6"/>
        <v>0</v>
      </c>
      <c r="N39" s="24">
        <f t="shared" si="14"/>
        <v>15000000</v>
      </c>
      <c r="O39" s="17">
        <f t="shared" si="15"/>
        <v>1</v>
      </c>
    </row>
    <row r="40" spans="1:17" ht="15" x14ac:dyDescent="0.25">
      <c r="A40" s="18" t="s">
        <v>82</v>
      </c>
      <c r="B40" s="31" t="s">
        <v>83</v>
      </c>
      <c r="C40" s="193">
        <v>0</v>
      </c>
      <c r="D40" s="21"/>
      <c r="E40" s="22">
        <v>3000000</v>
      </c>
      <c r="F40" s="34"/>
      <c r="G40" s="61"/>
      <c r="H40" s="20">
        <f t="shared" si="13"/>
        <v>3000000</v>
      </c>
      <c r="I40" s="21">
        <f>ENERO!J40</f>
        <v>0</v>
      </c>
      <c r="J40" s="21">
        <v>0</v>
      </c>
      <c r="K40" s="20">
        <f t="shared" si="10"/>
        <v>0</v>
      </c>
      <c r="L40" s="15">
        <f>K40/H40</f>
        <v>0</v>
      </c>
      <c r="M40" s="23">
        <f t="shared" si="6"/>
        <v>0</v>
      </c>
      <c r="N40" s="24">
        <f>H40-K40</f>
        <v>3000000</v>
      </c>
      <c r="O40" s="17">
        <f t="shared" si="15"/>
        <v>1</v>
      </c>
    </row>
    <row r="41" spans="1:17" ht="15" x14ac:dyDescent="0.25">
      <c r="A41" s="18" t="s">
        <v>84</v>
      </c>
      <c r="B41" s="31" t="s">
        <v>85</v>
      </c>
      <c r="C41" s="193">
        <v>0</v>
      </c>
      <c r="D41" s="21"/>
      <c r="E41" s="22"/>
      <c r="F41" s="34"/>
      <c r="G41" s="61"/>
      <c r="H41" s="20">
        <f t="shared" si="13"/>
        <v>0</v>
      </c>
      <c r="I41" s="21">
        <f>ENERO!J41</f>
        <v>0</v>
      </c>
      <c r="J41" s="21">
        <v>0</v>
      </c>
      <c r="K41" s="20">
        <f t="shared" si="10"/>
        <v>0</v>
      </c>
      <c r="L41" s="15">
        <v>0</v>
      </c>
      <c r="M41" s="23">
        <f t="shared" si="6"/>
        <v>0</v>
      </c>
      <c r="N41" s="24">
        <f>H41-K41</f>
        <v>0</v>
      </c>
      <c r="O41" s="17">
        <v>0</v>
      </c>
    </row>
    <row r="42" spans="1:17" ht="15" x14ac:dyDescent="0.25">
      <c r="A42" s="96">
        <v>2020120215</v>
      </c>
      <c r="B42" s="31" t="s">
        <v>118</v>
      </c>
      <c r="C42" s="193">
        <v>950000</v>
      </c>
      <c r="D42" s="21"/>
      <c r="E42" s="22"/>
      <c r="F42" s="34"/>
      <c r="G42" s="61"/>
      <c r="H42" s="20">
        <f t="shared" si="13"/>
        <v>950000</v>
      </c>
      <c r="I42" s="21">
        <f>ENERO!J42</f>
        <v>0</v>
      </c>
      <c r="J42" s="21">
        <v>0</v>
      </c>
      <c r="K42" s="20">
        <f t="shared" si="10"/>
        <v>0</v>
      </c>
      <c r="L42" s="15">
        <v>0</v>
      </c>
      <c r="M42" s="23">
        <f t="shared" si="6"/>
        <v>0</v>
      </c>
      <c r="N42" s="24">
        <f>H42-K42</f>
        <v>950000</v>
      </c>
      <c r="O42" s="17">
        <f t="shared" si="15"/>
        <v>1</v>
      </c>
    </row>
    <row r="43" spans="1:17" ht="15.75" x14ac:dyDescent="0.2">
      <c r="A43" s="63">
        <v>20201203</v>
      </c>
      <c r="B43" s="79" t="s">
        <v>191</v>
      </c>
      <c r="C43" s="329">
        <f>C44</f>
        <v>0</v>
      </c>
      <c r="D43" s="329">
        <f t="shared" ref="D43:H43" si="16">D44</f>
        <v>0</v>
      </c>
      <c r="E43" s="329">
        <f t="shared" si="16"/>
        <v>0</v>
      </c>
      <c r="F43" s="329">
        <f t="shared" si="16"/>
        <v>1000000</v>
      </c>
      <c r="G43" s="329">
        <f t="shared" si="16"/>
        <v>0</v>
      </c>
      <c r="H43" s="329">
        <f t="shared" si="16"/>
        <v>1000000</v>
      </c>
      <c r="I43" s="330">
        <f>I44</f>
        <v>0</v>
      </c>
      <c r="J43" s="344">
        <f>J44</f>
        <v>0</v>
      </c>
      <c r="K43" s="63">
        <f t="shared" si="10"/>
        <v>0</v>
      </c>
      <c r="L43" s="331">
        <v>0</v>
      </c>
      <c r="M43" s="63">
        <f t="shared" si="6"/>
        <v>0</v>
      </c>
      <c r="N43" s="332">
        <f>H43-K43</f>
        <v>1000000</v>
      </c>
      <c r="O43" s="345">
        <f t="shared" si="15"/>
        <v>1</v>
      </c>
    </row>
    <row r="44" spans="1:17" ht="15" x14ac:dyDescent="0.25">
      <c r="A44" s="96">
        <v>2020120301</v>
      </c>
      <c r="B44" s="31" t="s">
        <v>192</v>
      </c>
      <c r="C44" s="328"/>
      <c r="D44" s="21"/>
      <c r="E44" s="22"/>
      <c r="F44" s="34">
        <v>1000000</v>
      </c>
      <c r="G44" s="61"/>
      <c r="H44" s="20">
        <f>C44-D44+E44+F44-G44</f>
        <v>1000000</v>
      </c>
      <c r="I44" s="21">
        <v>0</v>
      </c>
      <c r="J44" s="21">
        <v>0</v>
      </c>
      <c r="K44" s="20"/>
      <c r="L44" s="15"/>
      <c r="M44" s="23">
        <f t="shared" si="6"/>
        <v>0</v>
      </c>
      <c r="N44" s="333">
        <f>H44-K44</f>
        <v>1000000</v>
      </c>
      <c r="O44" s="17">
        <f t="shared" si="15"/>
        <v>1</v>
      </c>
    </row>
    <row r="45" spans="1:17" s="69" customFormat="1" ht="27.75" customHeight="1" x14ac:dyDescent="0.2">
      <c r="A45" s="63" t="s">
        <v>86</v>
      </c>
      <c r="B45" s="79" t="s">
        <v>87</v>
      </c>
      <c r="C45" s="70">
        <f>SUM(C46:C49)</f>
        <v>83777302.320260897</v>
      </c>
      <c r="D45" s="70">
        <f t="shared" ref="D45:J45" si="17">SUM(D46:D49)</f>
        <v>0</v>
      </c>
      <c r="E45" s="70">
        <f t="shared" si="17"/>
        <v>0</v>
      </c>
      <c r="F45" s="70">
        <f t="shared" si="17"/>
        <v>0</v>
      </c>
      <c r="G45" s="70">
        <f t="shared" si="17"/>
        <v>0</v>
      </c>
      <c r="H45" s="70">
        <f t="shared" si="17"/>
        <v>83777302.320260897</v>
      </c>
      <c r="I45" s="70">
        <f t="shared" si="17"/>
        <v>4986871</v>
      </c>
      <c r="J45" s="70">
        <f t="shared" si="17"/>
        <v>4450959</v>
      </c>
      <c r="K45" s="65">
        <f t="shared" ref="K45" si="18">K46+K47+K48+K49</f>
        <v>9437830</v>
      </c>
      <c r="L45" s="66">
        <f t="shared" si="1"/>
        <v>0.11265378257133893</v>
      </c>
      <c r="M45" s="70">
        <f t="shared" si="6"/>
        <v>9437830</v>
      </c>
      <c r="N45" s="70">
        <f t="shared" ref="N45" si="19">SUM(N46:N49)</f>
        <v>74339472.320260897</v>
      </c>
      <c r="O45" s="68">
        <f t="shared" si="15"/>
        <v>0.88734621742866104</v>
      </c>
    </row>
    <row r="46" spans="1:17" ht="15" x14ac:dyDescent="0.25">
      <c r="A46" s="18" t="s">
        <v>88</v>
      </c>
      <c r="B46" s="31" t="s">
        <v>89</v>
      </c>
      <c r="C46" s="215">
        <v>13146617.570005897</v>
      </c>
      <c r="D46" s="346"/>
      <c r="E46" s="22"/>
      <c r="F46" s="34"/>
      <c r="G46" s="61"/>
      <c r="H46" s="20">
        <f>C46-D46+E46+F46-G46</f>
        <v>13146617.570005897</v>
      </c>
      <c r="I46" s="21">
        <f>ENERO!J46</f>
        <v>0</v>
      </c>
      <c r="J46" s="42">
        <v>0</v>
      </c>
      <c r="K46" s="20">
        <f t="shared" si="10"/>
        <v>0</v>
      </c>
      <c r="L46" s="15">
        <f t="shared" si="1"/>
        <v>0</v>
      </c>
      <c r="M46" s="23">
        <f t="shared" si="6"/>
        <v>0</v>
      </c>
      <c r="N46" s="24">
        <f>H46-K46</f>
        <v>13146617.570005897</v>
      </c>
      <c r="O46" s="17">
        <f t="shared" si="15"/>
        <v>1</v>
      </c>
    </row>
    <row r="47" spans="1:17" ht="15" x14ac:dyDescent="0.25">
      <c r="A47" s="18" t="s">
        <v>90</v>
      </c>
      <c r="B47" s="31" t="s">
        <v>91</v>
      </c>
      <c r="C47" s="215">
        <v>43392204</v>
      </c>
      <c r="D47" s="346"/>
      <c r="E47" s="22"/>
      <c r="F47" s="34"/>
      <c r="G47" s="61"/>
      <c r="H47" s="20">
        <f>C47-D47+E47+F47-G47</f>
        <v>43392204</v>
      </c>
      <c r="I47" s="21">
        <f>ENERO!J47</f>
        <v>3356700</v>
      </c>
      <c r="J47" s="41">
        <f>'LIBRO DE PRESUPUESTO'!J413</f>
        <v>3348793</v>
      </c>
      <c r="K47" s="20">
        <f t="shared" si="10"/>
        <v>6705493</v>
      </c>
      <c r="L47" s="15">
        <f t="shared" si="1"/>
        <v>0.15453220583125946</v>
      </c>
      <c r="M47" s="23">
        <f t="shared" si="6"/>
        <v>6705493</v>
      </c>
      <c r="N47" s="24">
        <f>H47-K47</f>
        <v>36686711</v>
      </c>
      <c r="O47" s="17">
        <f t="shared" si="15"/>
        <v>0.84546779416874052</v>
      </c>
      <c r="Q47" s="35"/>
    </row>
    <row r="48" spans="1:17" ht="15" x14ac:dyDescent="0.25">
      <c r="A48" s="26">
        <v>2020110304</v>
      </c>
      <c r="B48" s="31" t="s">
        <v>92</v>
      </c>
      <c r="C48" s="215">
        <v>21030768.590477761</v>
      </c>
      <c r="D48" s="346"/>
      <c r="E48" s="22"/>
      <c r="F48" s="34"/>
      <c r="G48" s="61"/>
      <c r="H48" s="20">
        <f>C48-D48+E48+F48-G48</f>
        <v>21030768.590477761</v>
      </c>
      <c r="I48" s="21">
        <f>ENERO!J48</f>
        <v>1630171</v>
      </c>
      <c r="J48" s="41">
        <f>'LIBRO DE PRESUPUESTO'!J421</f>
        <v>1102166</v>
      </c>
      <c r="K48" s="20">
        <f t="shared" si="10"/>
        <v>2732337</v>
      </c>
      <c r="L48" s="15">
        <f t="shared" si="1"/>
        <v>0.12992092933955529</v>
      </c>
      <c r="M48" s="23">
        <f t="shared" si="6"/>
        <v>2732337</v>
      </c>
      <c r="N48" s="24">
        <f>H48-K48</f>
        <v>18298431.590477761</v>
      </c>
      <c r="O48" s="17">
        <f t="shared" si="15"/>
        <v>0.87007907066044465</v>
      </c>
      <c r="Q48" s="35"/>
    </row>
    <row r="49" spans="1:17" ht="15" x14ac:dyDescent="0.25">
      <c r="A49" s="26">
        <v>2020110305</v>
      </c>
      <c r="B49" s="31" t="s">
        <v>93</v>
      </c>
      <c r="C49" s="215">
        <v>6207712.159777239</v>
      </c>
      <c r="D49" s="347"/>
      <c r="E49" s="22"/>
      <c r="F49" s="34"/>
      <c r="G49" s="44"/>
      <c r="H49" s="20">
        <f>C49-D49+E49+F49-G49</f>
        <v>6207712.159777239</v>
      </c>
      <c r="I49" s="21">
        <f>ENERO!J49</f>
        <v>0</v>
      </c>
      <c r="J49" s="20">
        <v>0</v>
      </c>
      <c r="K49" s="20">
        <f t="shared" si="10"/>
        <v>0</v>
      </c>
      <c r="L49" s="15">
        <f t="shared" si="1"/>
        <v>0</v>
      </c>
      <c r="M49" s="23">
        <f t="shared" si="6"/>
        <v>0</v>
      </c>
      <c r="N49" s="24">
        <f>H49-K49</f>
        <v>6207712.159777239</v>
      </c>
      <c r="O49" s="17">
        <f t="shared" si="15"/>
        <v>1</v>
      </c>
      <c r="Q49" s="35"/>
    </row>
    <row r="50" spans="1:17" s="69" customFormat="1" ht="27.75" customHeight="1" x14ac:dyDescent="0.2">
      <c r="A50" s="63">
        <v>20201104</v>
      </c>
      <c r="B50" s="80" t="s">
        <v>94</v>
      </c>
      <c r="C50" s="70">
        <f>SUM(C51:C60)</f>
        <v>127422616</v>
      </c>
      <c r="D50" s="70">
        <f t="shared" ref="D50:H50" si="20">SUM(D51:D60)</f>
        <v>0</v>
      </c>
      <c r="E50" s="70">
        <f t="shared" si="20"/>
        <v>0</v>
      </c>
      <c r="F50" s="70">
        <f t="shared" si="20"/>
        <v>0</v>
      </c>
      <c r="G50" s="70">
        <f t="shared" si="20"/>
        <v>0</v>
      </c>
      <c r="H50" s="70">
        <f t="shared" si="20"/>
        <v>127422616</v>
      </c>
      <c r="I50" s="65">
        <f>SUM(I51:I60)</f>
        <v>7396904</v>
      </c>
      <c r="J50" s="65">
        <f>SUM(J51:J60)</f>
        <v>8572975</v>
      </c>
      <c r="K50" s="65">
        <f t="shared" si="10"/>
        <v>15969879</v>
      </c>
      <c r="L50" s="66">
        <f t="shared" si="1"/>
        <v>0.12533001990792592</v>
      </c>
      <c r="M50" s="67">
        <f t="shared" si="6"/>
        <v>15969879</v>
      </c>
      <c r="N50" s="72">
        <f>SUM(N51:N60)</f>
        <v>111452737</v>
      </c>
      <c r="O50" s="68">
        <f t="shared" si="15"/>
        <v>0.87466998009207408</v>
      </c>
      <c r="Q50" s="76"/>
    </row>
    <row r="51" spans="1:17" ht="15" x14ac:dyDescent="0.25">
      <c r="A51" s="75" t="s">
        <v>95</v>
      </c>
      <c r="B51" s="31" t="s">
        <v>96</v>
      </c>
      <c r="C51" s="215">
        <v>38584317</v>
      </c>
      <c r="D51" s="346"/>
      <c r="E51" s="22"/>
      <c r="F51" s="34"/>
      <c r="G51" s="61"/>
      <c r="H51" s="20">
        <f t="shared" ref="H51:H63" si="21">C51-D51+E51+F51-G51</f>
        <v>38584317</v>
      </c>
      <c r="I51" s="21">
        <f>ENERO!J51</f>
        <v>0</v>
      </c>
      <c r="J51" s="25">
        <f>'LIBRO DE PRESUPUESTO'!J440</f>
        <v>889141</v>
      </c>
      <c r="K51" s="20">
        <f t="shared" si="10"/>
        <v>889141</v>
      </c>
      <c r="L51" s="15">
        <f t="shared" si="1"/>
        <v>2.3044103644493694E-2</v>
      </c>
      <c r="M51" s="23">
        <f t="shared" si="6"/>
        <v>889141</v>
      </c>
      <c r="N51" s="24">
        <f t="shared" ref="N51:N63" si="22">H51-K51</f>
        <v>37695176</v>
      </c>
      <c r="O51" s="17">
        <f t="shared" si="15"/>
        <v>0.97695589635550628</v>
      </c>
      <c r="Q51" s="35"/>
    </row>
    <row r="52" spans="1:17" ht="15" x14ac:dyDescent="0.25">
      <c r="A52" s="18" t="s">
        <v>97</v>
      </c>
      <c r="B52" s="31" t="s">
        <v>91</v>
      </c>
      <c r="C52" s="215">
        <v>0</v>
      </c>
      <c r="D52" s="346"/>
      <c r="E52" s="22"/>
      <c r="F52" s="34"/>
      <c r="G52" s="61"/>
      <c r="H52" s="20">
        <f t="shared" si="21"/>
        <v>0</v>
      </c>
      <c r="I52" s="21">
        <f>ENERO!J52</f>
        <v>0</v>
      </c>
      <c r="J52" s="21"/>
      <c r="K52" s="20">
        <f t="shared" si="10"/>
        <v>0</v>
      </c>
      <c r="L52" s="15">
        <v>0</v>
      </c>
      <c r="M52" s="16">
        <f t="shared" si="6"/>
        <v>0</v>
      </c>
      <c r="N52" s="24">
        <f t="shared" si="22"/>
        <v>0</v>
      </c>
      <c r="O52" s="17">
        <v>0</v>
      </c>
      <c r="Q52" s="35"/>
    </row>
    <row r="53" spans="1:17" ht="15" x14ac:dyDescent="0.25">
      <c r="A53" s="18" t="s">
        <v>98</v>
      </c>
      <c r="B53" s="31" t="s">
        <v>99</v>
      </c>
      <c r="C53" s="215">
        <v>2664792</v>
      </c>
      <c r="D53" s="346"/>
      <c r="E53" s="22"/>
      <c r="F53" s="34"/>
      <c r="G53" s="61"/>
      <c r="H53" s="20">
        <f t="shared" si="21"/>
        <v>2664792</v>
      </c>
      <c r="I53" s="21">
        <f>ENERO!J53</f>
        <v>267200</v>
      </c>
      <c r="J53" s="41">
        <f>'LIBRO DE PRESUPUESTO'!J456</f>
        <v>267200</v>
      </c>
      <c r="K53" s="20">
        <f t="shared" si="10"/>
        <v>534400</v>
      </c>
      <c r="L53" s="15">
        <f t="shared" si="1"/>
        <v>0.20054098030915735</v>
      </c>
      <c r="M53" s="23">
        <f t="shared" si="6"/>
        <v>534400</v>
      </c>
      <c r="N53" s="24">
        <f t="shared" si="22"/>
        <v>2130392</v>
      </c>
      <c r="O53" s="17">
        <f t="shared" si="15"/>
        <v>0.79945901969084265</v>
      </c>
      <c r="Q53" s="35"/>
    </row>
    <row r="54" spans="1:17" ht="15" x14ac:dyDescent="0.25">
      <c r="A54" s="18" t="s">
        <v>100</v>
      </c>
      <c r="B54" s="31" t="s">
        <v>92</v>
      </c>
      <c r="C54" s="215">
        <v>40228819</v>
      </c>
      <c r="D54" s="346"/>
      <c r="E54" s="22"/>
      <c r="F54" s="34"/>
      <c r="G54" s="61"/>
      <c r="H54" s="20">
        <f t="shared" si="21"/>
        <v>40228819</v>
      </c>
      <c r="I54" s="21">
        <f>ENERO!J54</f>
        <v>3083004</v>
      </c>
      <c r="J54" s="37">
        <f>'LIBRO DE PRESUPUESTO'!J468</f>
        <v>3625434</v>
      </c>
      <c r="K54" s="20">
        <f t="shared" si="10"/>
        <v>6708438</v>
      </c>
      <c r="L54" s="15">
        <f t="shared" si="1"/>
        <v>0.16675702063239789</v>
      </c>
      <c r="M54" s="23">
        <f t="shared" si="6"/>
        <v>6708438</v>
      </c>
      <c r="N54" s="24">
        <f t="shared" si="22"/>
        <v>33520381</v>
      </c>
      <c r="O54" s="17">
        <f t="shared" si="15"/>
        <v>0.83324297936760217</v>
      </c>
      <c r="Q54" s="35"/>
    </row>
    <row r="55" spans="1:17" ht="15" x14ac:dyDescent="0.25">
      <c r="A55" s="18" t="s">
        <v>101</v>
      </c>
      <c r="B55" s="31" t="s">
        <v>102</v>
      </c>
      <c r="C55" s="215">
        <v>20419860</v>
      </c>
      <c r="D55" s="346"/>
      <c r="E55" s="22"/>
      <c r="F55" s="34"/>
      <c r="G55" s="61"/>
      <c r="H55" s="20">
        <f t="shared" si="21"/>
        <v>20419860</v>
      </c>
      <c r="I55" s="21">
        <f>ENERO!J55</f>
        <v>1797800</v>
      </c>
      <c r="J55" s="41">
        <f>'LIBRO DE PRESUPUESTO'!J480</f>
        <v>1684300</v>
      </c>
      <c r="K55" s="20">
        <f t="shared" si="10"/>
        <v>3482100</v>
      </c>
      <c r="L55" s="15">
        <f t="shared" si="1"/>
        <v>0.17052516520681338</v>
      </c>
      <c r="M55" s="23">
        <f t="shared" si="6"/>
        <v>3482100</v>
      </c>
      <c r="N55" s="24">
        <f t="shared" si="22"/>
        <v>16937760</v>
      </c>
      <c r="O55" s="17">
        <f t="shared" si="15"/>
        <v>0.82947483479318662</v>
      </c>
      <c r="Q55" s="35"/>
    </row>
    <row r="56" spans="1:17" ht="15" x14ac:dyDescent="0.25">
      <c r="A56" s="18" t="s">
        <v>103</v>
      </c>
      <c r="B56" s="31" t="s">
        <v>104</v>
      </c>
      <c r="C56" s="215">
        <v>15314892</v>
      </c>
      <c r="D56" s="346"/>
      <c r="E56" s="22"/>
      <c r="F56" s="34"/>
      <c r="G56" s="61"/>
      <c r="H56" s="20">
        <f t="shared" si="21"/>
        <v>15314892</v>
      </c>
      <c r="I56" s="21">
        <f>ENERO!J56</f>
        <v>1348600</v>
      </c>
      <c r="J56" s="41">
        <f>'LIBRO DE PRESUPUESTO'!J493</f>
        <v>1263400</v>
      </c>
      <c r="K56" s="20">
        <f t="shared" si="10"/>
        <v>2612000</v>
      </c>
      <c r="L56" s="15">
        <f t="shared" si="1"/>
        <v>0.17055294937763846</v>
      </c>
      <c r="M56" s="23">
        <f t="shared" si="6"/>
        <v>2612000</v>
      </c>
      <c r="N56" s="24">
        <f t="shared" si="22"/>
        <v>12702892</v>
      </c>
      <c r="O56" s="17">
        <f t="shared" si="15"/>
        <v>0.82944705062236157</v>
      </c>
      <c r="Q56" s="35"/>
    </row>
    <row r="57" spans="1:17" ht="15" x14ac:dyDescent="0.25">
      <c r="A57" s="18" t="s">
        <v>105</v>
      </c>
      <c r="B57" s="31" t="s">
        <v>106</v>
      </c>
      <c r="C57" s="215">
        <v>2552484</v>
      </c>
      <c r="D57" s="346"/>
      <c r="E57" s="22"/>
      <c r="F57" s="34"/>
      <c r="G57" s="61"/>
      <c r="H57" s="20">
        <f t="shared" si="21"/>
        <v>2552484</v>
      </c>
      <c r="I57" s="21">
        <f>ENERO!J57</f>
        <v>225200</v>
      </c>
      <c r="J57" s="41">
        <f>'LIBRO DE PRESUPUESTO'!J509</f>
        <v>211000</v>
      </c>
      <c r="K57" s="20">
        <f t="shared" si="10"/>
        <v>436200</v>
      </c>
      <c r="L57" s="15">
        <f t="shared" si="1"/>
        <v>0.17089235427136859</v>
      </c>
      <c r="M57" s="23">
        <f t="shared" si="6"/>
        <v>436200</v>
      </c>
      <c r="N57" s="24">
        <f t="shared" si="22"/>
        <v>2116284</v>
      </c>
      <c r="O57" s="17">
        <f t="shared" si="15"/>
        <v>0.82910764572863138</v>
      </c>
      <c r="Q57" s="35"/>
    </row>
    <row r="58" spans="1:17" ht="15" x14ac:dyDescent="0.25">
      <c r="A58" s="18" t="s">
        <v>107</v>
      </c>
      <c r="B58" s="31" t="s">
        <v>108</v>
      </c>
      <c r="C58" s="215">
        <v>2552484</v>
      </c>
      <c r="D58" s="346"/>
      <c r="E58" s="22"/>
      <c r="F58" s="34"/>
      <c r="G58" s="61"/>
      <c r="H58" s="20">
        <f t="shared" si="21"/>
        <v>2552484</v>
      </c>
      <c r="I58" s="21">
        <f>ENERO!J58</f>
        <v>225200</v>
      </c>
      <c r="J58" s="41">
        <f>'LIBRO DE PRESUPUESTO'!J523</f>
        <v>211000</v>
      </c>
      <c r="K58" s="20">
        <f t="shared" si="10"/>
        <v>436200</v>
      </c>
      <c r="L58" s="15">
        <f t="shared" si="1"/>
        <v>0.17089235427136859</v>
      </c>
      <c r="M58" s="23">
        <f t="shared" si="6"/>
        <v>436200</v>
      </c>
      <c r="N58" s="24">
        <f t="shared" si="22"/>
        <v>2116284</v>
      </c>
      <c r="O58" s="17">
        <f t="shared" si="15"/>
        <v>0.82910764572863138</v>
      </c>
      <c r="Q58" s="35"/>
    </row>
    <row r="59" spans="1:17" ht="15" x14ac:dyDescent="0.25">
      <c r="A59" s="18" t="s">
        <v>109</v>
      </c>
      <c r="B59" s="31" t="s">
        <v>110</v>
      </c>
      <c r="C59" s="215">
        <v>5104968</v>
      </c>
      <c r="D59" s="346"/>
      <c r="E59" s="22"/>
      <c r="F59" s="34"/>
      <c r="G59" s="61"/>
      <c r="H59" s="20">
        <f t="shared" si="21"/>
        <v>5104968</v>
      </c>
      <c r="I59" s="21">
        <f>ENERO!J59</f>
        <v>449900</v>
      </c>
      <c r="J59" s="41">
        <f>'LIBRO DE PRESUPUESTO'!J542</f>
        <v>421500</v>
      </c>
      <c r="K59" s="20">
        <f t="shared" si="10"/>
        <v>871400</v>
      </c>
      <c r="L59" s="15">
        <f t="shared" si="1"/>
        <v>0.17069646665757748</v>
      </c>
      <c r="M59" s="23">
        <f>J59+I59</f>
        <v>871400</v>
      </c>
      <c r="N59" s="24">
        <f t="shared" si="22"/>
        <v>4233568</v>
      </c>
      <c r="O59" s="17">
        <f t="shared" si="15"/>
        <v>0.82930353334242257</v>
      </c>
      <c r="Q59" s="35"/>
    </row>
    <row r="60" spans="1:17" ht="15" x14ac:dyDescent="0.25">
      <c r="A60" s="18" t="s">
        <v>111</v>
      </c>
      <c r="B60" s="31" t="s">
        <v>112</v>
      </c>
      <c r="C60" s="193">
        <v>0</v>
      </c>
      <c r="D60" s="21"/>
      <c r="E60" s="22"/>
      <c r="F60" s="34"/>
      <c r="G60" s="61"/>
      <c r="H60" s="20">
        <f t="shared" si="21"/>
        <v>0</v>
      </c>
      <c r="I60" s="21">
        <f>ENERO!J60</f>
        <v>0</v>
      </c>
      <c r="J60" s="21">
        <v>0</v>
      </c>
      <c r="K60" s="20">
        <f t="shared" si="10"/>
        <v>0</v>
      </c>
      <c r="L60" s="15">
        <v>0</v>
      </c>
      <c r="M60" s="16">
        <f t="shared" si="6"/>
        <v>0</v>
      </c>
      <c r="N60" s="24">
        <f t="shared" si="22"/>
        <v>0</v>
      </c>
      <c r="O60" s="17">
        <v>0</v>
      </c>
      <c r="Q60" s="35"/>
    </row>
    <row r="61" spans="1:17" ht="27" customHeight="1" x14ac:dyDescent="0.2">
      <c r="A61" s="94">
        <v>20201203</v>
      </c>
      <c r="B61" s="64" t="s">
        <v>116</v>
      </c>
      <c r="C61" s="70">
        <f>C62</f>
        <v>0</v>
      </c>
      <c r="D61" s="71">
        <f t="shared" ref="D61:G61" si="23">D62</f>
        <v>0</v>
      </c>
      <c r="E61" s="71">
        <f>E62+E63</f>
        <v>0</v>
      </c>
      <c r="F61" s="65">
        <f t="shared" si="23"/>
        <v>0</v>
      </c>
      <c r="G61" s="71">
        <f t="shared" si="23"/>
        <v>0</v>
      </c>
      <c r="H61" s="65">
        <f>SUM(H62:H63)</f>
        <v>0</v>
      </c>
      <c r="I61" s="65">
        <f t="shared" ref="I61:L61" si="24">I62</f>
        <v>0</v>
      </c>
      <c r="J61" s="65">
        <f t="shared" si="24"/>
        <v>0</v>
      </c>
      <c r="K61" s="65">
        <f t="shared" si="24"/>
        <v>0</v>
      </c>
      <c r="L61" s="66">
        <f t="shared" si="24"/>
        <v>0</v>
      </c>
      <c r="M61" s="67">
        <f>J61+I61</f>
        <v>0</v>
      </c>
      <c r="N61" s="72">
        <f>SUM(N62:N63)</f>
        <v>0</v>
      </c>
      <c r="O61" s="68">
        <v>0</v>
      </c>
      <c r="Q61" s="35"/>
    </row>
    <row r="62" spans="1:17" ht="15" x14ac:dyDescent="0.25">
      <c r="A62" s="95">
        <v>2020130101</v>
      </c>
      <c r="B62" s="87" t="s">
        <v>117</v>
      </c>
      <c r="C62" s="88">
        <v>0</v>
      </c>
      <c r="D62" s="89">
        <v>0</v>
      </c>
      <c r="E62" s="90">
        <v>0</v>
      </c>
      <c r="F62" s="91"/>
      <c r="G62" s="92"/>
      <c r="H62" s="20">
        <f t="shared" si="21"/>
        <v>0</v>
      </c>
      <c r="I62" s="89">
        <v>0</v>
      </c>
      <c r="J62" s="89">
        <v>0</v>
      </c>
      <c r="K62" s="93">
        <v>0</v>
      </c>
      <c r="L62" s="15">
        <v>0</v>
      </c>
      <c r="M62" s="23">
        <f t="shared" si="6"/>
        <v>0</v>
      </c>
      <c r="N62" s="24">
        <f t="shared" si="22"/>
        <v>0</v>
      </c>
      <c r="O62" s="17">
        <v>0</v>
      </c>
      <c r="Q62" s="35"/>
    </row>
    <row r="63" spans="1:17" ht="15" x14ac:dyDescent="0.25">
      <c r="A63" s="95">
        <v>45</v>
      </c>
      <c r="B63" s="87" t="s">
        <v>117</v>
      </c>
      <c r="C63" s="88">
        <v>0</v>
      </c>
      <c r="D63" s="89">
        <v>0</v>
      </c>
      <c r="E63" s="90"/>
      <c r="F63" s="91">
        <v>0</v>
      </c>
      <c r="G63" s="92">
        <v>0</v>
      </c>
      <c r="H63" s="20">
        <f t="shared" si="21"/>
        <v>0</v>
      </c>
      <c r="I63" s="89">
        <v>0</v>
      </c>
      <c r="J63" s="89">
        <v>0</v>
      </c>
      <c r="K63" s="93">
        <v>0</v>
      </c>
      <c r="L63" s="15">
        <v>0</v>
      </c>
      <c r="M63" s="23">
        <f t="shared" si="6"/>
        <v>0</v>
      </c>
      <c r="N63" s="24">
        <f t="shared" si="22"/>
        <v>0</v>
      </c>
      <c r="O63" s="17">
        <v>0</v>
      </c>
      <c r="Q63" s="35"/>
    </row>
    <row r="64" spans="1:17" s="77" customFormat="1" ht="31.5" customHeight="1" thickBot="1" x14ac:dyDescent="0.25">
      <c r="A64" s="78"/>
      <c r="B64" s="82" t="s">
        <v>113</v>
      </c>
      <c r="C64" s="86">
        <f>C50+C45+C43+C27+C18+C22+C8</f>
        <v>973593066.23348069</v>
      </c>
      <c r="D64" s="83">
        <f>D9+D50</f>
        <v>0</v>
      </c>
      <c r="E64" s="83">
        <f t="shared" ref="E64:J64" si="25">E8+E18+E22+E27+E43+E45+E50+E61</f>
        <v>104610765</v>
      </c>
      <c r="F64" s="83">
        <f t="shared" si="25"/>
        <v>28650007</v>
      </c>
      <c r="G64" s="83">
        <f t="shared" si="25"/>
        <v>28650007</v>
      </c>
      <c r="H64" s="83">
        <f t="shared" si="25"/>
        <v>1078203831.2334807</v>
      </c>
      <c r="I64" s="83">
        <f t="shared" si="25"/>
        <v>91630273</v>
      </c>
      <c r="J64" s="83">
        <f t="shared" si="25"/>
        <v>83542049</v>
      </c>
      <c r="K64" s="83">
        <f>K50+K45+K27+K22+K18+K8</f>
        <v>175172322</v>
      </c>
      <c r="L64" s="84">
        <f t="shared" si="1"/>
        <v>0.16246679609698692</v>
      </c>
      <c r="M64" s="83">
        <f>M8+M18+M22+M27+M43+M45+M50+M61</f>
        <v>175172322</v>
      </c>
      <c r="N64" s="83">
        <f>N8+N18+N22+N27+N45+N43+N50+N61</f>
        <v>903031509.23348057</v>
      </c>
      <c r="O64" s="85">
        <f t="shared" si="15"/>
        <v>0.837533203903013</v>
      </c>
    </row>
    <row r="65" spans="1:17" ht="35.25" customHeight="1" thickBot="1" x14ac:dyDescent="0.3">
      <c r="A65" s="81" t="s">
        <v>114</v>
      </c>
      <c r="B65" s="369" t="s">
        <v>115</v>
      </c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1"/>
      <c r="Q65" s="38"/>
    </row>
    <row r="66" spans="1:17" x14ac:dyDescent="0.2">
      <c r="K66" s="38"/>
    </row>
    <row r="67" spans="1:17" x14ac:dyDescent="0.2">
      <c r="D67" s="38"/>
      <c r="F67" s="38"/>
      <c r="G67" s="38"/>
      <c r="K67" s="38"/>
      <c r="N67" s="38"/>
    </row>
    <row r="68" spans="1:17" x14ac:dyDescent="0.2">
      <c r="G68" s="38"/>
      <c r="I68" s="38"/>
      <c r="J68" s="40"/>
      <c r="N68" s="38"/>
    </row>
    <row r="69" spans="1:17" x14ac:dyDescent="0.2">
      <c r="D69" s="38"/>
      <c r="J69" s="38"/>
      <c r="L69" s="38"/>
      <c r="N69" s="38"/>
    </row>
    <row r="70" spans="1:17" x14ac:dyDescent="0.2">
      <c r="H70" s="38"/>
      <c r="J70" s="38"/>
      <c r="N70" s="38"/>
    </row>
    <row r="71" spans="1:17" x14ac:dyDescent="0.2">
      <c r="J71" s="38"/>
    </row>
  </sheetData>
  <mergeCells count="5">
    <mergeCell ref="A1:O1"/>
    <mergeCell ref="A2:O2"/>
    <mergeCell ref="A3:O3"/>
    <mergeCell ref="L5:L6"/>
    <mergeCell ref="B65:O65"/>
  </mergeCells>
  <printOptions horizontalCentered="1" verticalCentered="1"/>
  <pageMargins left="0.23622047244094491" right="0.23622047244094491" top="0.39370078740157483" bottom="0.98425196850393704" header="0" footer="0"/>
  <pageSetup paperSize="14" scale="4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zoomScale="90" zoomScaleNormal="90" zoomScaleSheetLayoutView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3" sqref="A3:O3"/>
    </sheetView>
  </sheetViews>
  <sheetFormatPr baseColWidth="10" defaultRowHeight="14.25" x14ac:dyDescent="0.2"/>
  <cols>
    <col min="1" max="1" width="16" style="1" customWidth="1"/>
    <col min="2" max="2" width="49.625" style="1" customWidth="1"/>
    <col min="3" max="3" width="21.625" style="1" customWidth="1"/>
    <col min="4" max="7" width="14.625" style="1" customWidth="1"/>
    <col min="8" max="8" width="17.875" style="1" bestFit="1" customWidth="1"/>
    <col min="9" max="9" width="20.625" style="1" bestFit="1" customWidth="1"/>
    <col min="10" max="10" width="15" style="1" bestFit="1" customWidth="1"/>
    <col min="11" max="11" width="16" style="1" hidden="1" customWidth="1"/>
    <col min="12" max="12" width="6" style="1" bestFit="1" customWidth="1"/>
    <col min="13" max="13" width="17.375" style="39" customWidth="1"/>
    <col min="14" max="14" width="16.25" style="1" bestFit="1" customWidth="1"/>
    <col min="15" max="15" width="8.5" style="1" customWidth="1"/>
    <col min="16" max="16" width="11" style="1"/>
    <col min="17" max="17" width="10.125" style="1" bestFit="1" customWidth="1"/>
    <col min="18" max="256" width="11" style="1"/>
    <col min="257" max="257" width="16" style="1" customWidth="1"/>
    <col min="258" max="258" width="49.625" style="1" customWidth="1"/>
    <col min="259" max="259" width="15.25" style="1" customWidth="1"/>
    <col min="260" max="266" width="14.625" style="1" customWidth="1"/>
    <col min="267" max="267" width="0" style="1" hidden="1" customWidth="1"/>
    <col min="268" max="268" width="7.875" style="1" customWidth="1"/>
    <col min="269" max="269" width="17.375" style="1" customWidth="1"/>
    <col min="270" max="270" width="14.625" style="1" customWidth="1"/>
    <col min="271" max="271" width="8.5" style="1" customWidth="1"/>
    <col min="272" max="272" width="11" style="1"/>
    <col min="273" max="273" width="10.125" style="1" bestFit="1" customWidth="1"/>
    <col min="274" max="512" width="11" style="1"/>
    <col min="513" max="513" width="16" style="1" customWidth="1"/>
    <col min="514" max="514" width="49.625" style="1" customWidth="1"/>
    <col min="515" max="515" width="15.25" style="1" customWidth="1"/>
    <col min="516" max="522" width="14.625" style="1" customWidth="1"/>
    <col min="523" max="523" width="0" style="1" hidden="1" customWidth="1"/>
    <col min="524" max="524" width="7.875" style="1" customWidth="1"/>
    <col min="525" max="525" width="17.375" style="1" customWidth="1"/>
    <col min="526" max="526" width="14.625" style="1" customWidth="1"/>
    <col min="527" max="527" width="8.5" style="1" customWidth="1"/>
    <col min="528" max="528" width="11" style="1"/>
    <col min="529" max="529" width="10.125" style="1" bestFit="1" customWidth="1"/>
    <col min="530" max="768" width="11" style="1"/>
    <col min="769" max="769" width="16" style="1" customWidth="1"/>
    <col min="770" max="770" width="49.625" style="1" customWidth="1"/>
    <col min="771" max="771" width="15.25" style="1" customWidth="1"/>
    <col min="772" max="778" width="14.625" style="1" customWidth="1"/>
    <col min="779" max="779" width="0" style="1" hidden="1" customWidth="1"/>
    <col min="780" max="780" width="7.875" style="1" customWidth="1"/>
    <col min="781" max="781" width="17.375" style="1" customWidth="1"/>
    <col min="782" max="782" width="14.625" style="1" customWidth="1"/>
    <col min="783" max="783" width="8.5" style="1" customWidth="1"/>
    <col min="784" max="784" width="11" style="1"/>
    <col min="785" max="785" width="10.125" style="1" bestFit="1" customWidth="1"/>
    <col min="786" max="1024" width="11" style="1"/>
    <col min="1025" max="1025" width="16" style="1" customWidth="1"/>
    <col min="1026" max="1026" width="49.625" style="1" customWidth="1"/>
    <col min="1027" max="1027" width="15.25" style="1" customWidth="1"/>
    <col min="1028" max="1034" width="14.625" style="1" customWidth="1"/>
    <col min="1035" max="1035" width="0" style="1" hidden="1" customWidth="1"/>
    <col min="1036" max="1036" width="7.875" style="1" customWidth="1"/>
    <col min="1037" max="1037" width="17.375" style="1" customWidth="1"/>
    <col min="1038" max="1038" width="14.625" style="1" customWidth="1"/>
    <col min="1039" max="1039" width="8.5" style="1" customWidth="1"/>
    <col min="1040" max="1040" width="11" style="1"/>
    <col min="1041" max="1041" width="10.125" style="1" bestFit="1" customWidth="1"/>
    <col min="1042" max="1280" width="11" style="1"/>
    <col min="1281" max="1281" width="16" style="1" customWidth="1"/>
    <col min="1282" max="1282" width="49.625" style="1" customWidth="1"/>
    <col min="1283" max="1283" width="15.25" style="1" customWidth="1"/>
    <col min="1284" max="1290" width="14.625" style="1" customWidth="1"/>
    <col min="1291" max="1291" width="0" style="1" hidden="1" customWidth="1"/>
    <col min="1292" max="1292" width="7.875" style="1" customWidth="1"/>
    <col min="1293" max="1293" width="17.375" style="1" customWidth="1"/>
    <col min="1294" max="1294" width="14.625" style="1" customWidth="1"/>
    <col min="1295" max="1295" width="8.5" style="1" customWidth="1"/>
    <col min="1296" max="1296" width="11" style="1"/>
    <col min="1297" max="1297" width="10.125" style="1" bestFit="1" customWidth="1"/>
    <col min="1298" max="1536" width="11" style="1"/>
    <col min="1537" max="1537" width="16" style="1" customWidth="1"/>
    <col min="1538" max="1538" width="49.625" style="1" customWidth="1"/>
    <col min="1539" max="1539" width="15.25" style="1" customWidth="1"/>
    <col min="1540" max="1546" width="14.625" style="1" customWidth="1"/>
    <col min="1547" max="1547" width="0" style="1" hidden="1" customWidth="1"/>
    <col min="1548" max="1548" width="7.875" style="1" customWidth="1"/>
    <col min="1549" max="1549" width="17.375" style="1" customWidth="1"/>
    <col min="1550" max="1550" width="14.625" style="1" customWidth="1"/>
    <col min="1551" max="1551" width="8.5" style="1" customWidth="1"/>
    <col min="1552" max="1552" width="11" style="1"/>
    <col min="1553" max="1553" width="10.125" style="1" bestFit="1" customWidth="1"/>
    <col min="1554" max="1792" width="11" style="1"/>
    <col min="1793" max="1793" width="16" style="1" customWidth="1"/>
    <col min="1794" max="1794" width="49.625" style="1" customWidth="1"/>
    <col min="1795" max="1795" width="15.25" style="1" customWidth="1"/>
    <col min="1796" max="1802" width="14.625" style="1" customWidth="1"/>
    <col min="1803" max="1803" width="0" style="1" hidden="1" customWidth="1"/>
    <col min="1804" max="1804" width="7.875" style="1" customWidth="1"/>
    <col min="1805" max="1805" width="17.375" style="1" customWidth="1"/>
    <col min="1806" max="1806" width="14.625" style="1" customWidth="1"/>
    <col min="1807" max="1807" width="8.5" style="1" customWidth="1"/>
    <col min="1808" max="1808" width="11" style="1"/>
    <col min="1809" max="1809" width="10.125" style="1" bestFit="1" customWidth="1"/>
    <col min="1810" max="2048" width="11" style="1"/>
    <col min="2049" max="2049" width="16" style="1" customWidth="1"/>
    <col min="2050" max="2050" width="49.625" style="1" customWidth="1"/>
    <col min="2051" max="2051" width="15.25" style="1" customWidth="1"/>
    <col min="2052" max="2058" width="14.625" style="1" customWidth="1"/>
    <col min="2059" max="2059" width="0" style="1" hidden="1" customWidth="1"/>
    <col min="2060" max="2060" width="7.875" style="1" customWidth="1"/>
    <col min="2061" max="2061" width="17.375" style="1" customWidth="1"/>
    <col min="2062" max="2062" width="14.625" style="1" customWidth="1"/>
    <col min="2063" max="2063" width="8.5" style="1" customWidth="1"/>
    <col min="2064" max="2064" width="11" style="1"/>
    <col min="2065" max="2065" width="10.125" style="1" bestFit="1" customWidth="1"/>
    <col min="2066" max="2304" width="11" style="1"/>
    <col min="2305" max="2305" width="16" style="1" customWidth="1"/>
    <col min="2306" max="2306" width="49.625" style="1" customWidth="1"/>
    <col min="2307" max="2307" width="15.25" style="1" customWidth="1"/>
    <col min="2308" max="2314" width="14.625" style="1" customWidth="1"/>
    <col min="2315" max="2315" width="0" style="1" hidden="1" customWidth="1"/>
    <col min="2316" max="2316" width="7.875" style="1" customWidth="1"/>
    <col min="2317" max="2317" width="17.375" style="1" customWidth="1"/>
    <col min="2318" max="2318" width="14.625" style="1" customWidth="1"/>
    <col min="2319" max="2319" width="8.5" style="1" customWidth="1"/>
    <col min="2320" max="2320" width="11" style="1"/>
    <col min="2321" max="2321" width="10.125" style="1" bestFit="1" customWidth="1"/>
    <col min="2322" max="2560" width="11" style="1"/>
    <col min="2561" max="2561" width="16" style="1" customWidth="1"/>
    <col min="2562" max="2562" width="49.625" style="1" customWidth="1"/>
    <col min="2563" max="2563" width="15.25" style="1" customWidth="1"/>
    <col min="2564" max="2570" width="14.625" style="1" customWidth="1"/>
    <col min="2571" max="2571" width="0" style="1" hidden="1" customWidth="1"/>
    <col min="2572" max="2572" width="7.875" style="1" customWidth="1"/>
    <col min="2573" max="2573" width="17.375" style="1" customWidth="1"/>
    <col min="2574" max="2574" width="14.625" style="1" customWidth="1"/>
    <col min="2575" max="2575" width="8.5" style="1" customWidth="1"/>
    <col min="2576" max="2576" width="11" style="1"/>
    <col min="2577" max="2577" width="10.125" style="1" bestFit="1" customWidth="1"/>
    <col min="2578" max="2816" width="11" style="1"/>
    <col min="2817" max="2817" width="16" style="1" customWidth="1"/>
    <col min="2818" max="2818" width="49.625" style="1" customWidth="1"/>
    <col min="2819" max="2819" width="15.25" style="1" customWidth="1"/>
    <col min="2820" max="2826" width="14.625" style="1" customWidth="1"/>
    <col min="2827" max="2827" width="0" style="1" hidden="1" customWidth="1"/>
    <col min="2828" max="2828" width="7.875" style="1" customWidth="1"/>
    <col min="2829" max="2829" width="17.375" style="1" customWidth="1"/>
    <col min="2830" max="2830" width="14.625" style="1" customWidth="1"/>
    <col min="2831" max="2831" width="8.5" style="1" customWidth="1"/>
    <col min="2832" max="2832" width="11" style="1"/>
    <col min="2833" max="2833" width="10.125" style="1" bestFit="1" customWidth="1"/>
    <col min="2834" max="3072" width="11" style="1"/>
    <col min="3073" max="3073" width="16" style="1" customWidth="1"/>
    <col min="3074" max="3074" width="49.625" style="1" customWidth="1"/>
    <col min="3075" max="3075" width="15.25" style="1" customWidth="1"/>
    <col min="3076" max="3082" width="14.625" style="1" customWidth="1"/>
    <col min="3083" max="3083" width="0" style="1" hidden="1" customWidth="1"/>
    <col min="3084" max="3084" width="7.875" style="1" customWidth="1"/>
    <col min="3085" max="3085" width="17.375" style="1" customWidth="1"/>
    <col min="3086" max="3086" width="14.625" style="1" customWidth="1"/>
    <col min="3087" max="3087" width="8.5" style="1" customWidth="1"/>
    <col min="3088" max="3088" width="11" style="1"/>
    <col min="3089" max="3089" width="10.125" style="1" bestFit="1" customWidth="1"/>
    <col min="3090" max="3328" width="11" style="1"/>
    <col min="3329" max="3329" width="16" style="1" customWidth="1"/>
    <col min="3330" max="3330" width="49.625" style="1" customWidth="1"/>
    <col min="3331" max="3331" width="15.25" style="1" customWidth="1"/>
    <col min="3332" max="3338" width="14.625" style="1" customWidth="1"/>
    <col min="3339" max="3339" width="0" style="1" hidden="1" customWidth="1"/>
    <col min="3340" max="3340" width="7.875" style="1" customWidth="1"/>
    <col min="3341" max="3341" width="17.375" style="1" customWidth="1"/>
    <col min="3342" max="3342" width="14.625" style="1" customWidth="1"/>
    <col min="3343" max="3343" width="8.5" style="1" customWidth="1"/>
    <col min="3344" max="3344" width="11" style="1"/>
    <col min="3345" max="3345" width="10.125" style="1" bestFit="1" customWidth="1"/>
    <col min="3346" max="3584" width="11" style="1"/>
    <col min="3585" max="3585" width="16" style="1" customWidth="1"/>
    <col min="3586" max="3586" width="49.625" style="1" customWidth="1"/>
    <col min="3587" max="3587" width="15.25" style="1" customWidth="1"/>
    <col min="3588" max="3594" width="14.625" style="1" customWidth="1"/>
    <col min="3595" max="3595" width="0" style="1" hidden="1" customWidth="1"/>
    <col min="3596" max="3596" width="7.875" style="1" customWidth="1"/>
    <col min="3597" max="3597" width="17.375" style="1" customWidth="1"/>
    <col min="3598" max="3598" width="14.625" style="1" customWidth="1"/>
    <col min="3599" max="3599" width="8.5" style="1" customWidth="1"/>
    <col min="3600" max="3600" width="11" style="1"/>
    <col min="3601" max="3601" width="10.125" style="1" bestFit="1" customWidth="1"/>
    <col min="3602" max="3840" width="11" style="1"/>
    <col min="3841" max="3841" width="16" style="1" customWidth="1"/>
    <col min="3842" max="3842" width="49.625" style="1" customWidth="1"/>
    <col min="3843" max="3843" width="15.25" style="1" customWidth="1"/>
    <col min="3844" max="3850" width="14.625" style="1" customWidth="1"/>
    <col min="3851" max="3851" width="0" style="1" hidden="1" customWidth="1"/>
    <col min="3852" max="3852" width="7.875" style="1" customWidth="1"/>
    <col min="3853" max="3853" width="17.375" style="1" customWidth="1"/>
    <col min="3854" max="3854" width="14.625" style="1" customWidth="1"/>
    <col min="3855" max="3855" width="8.5" style="1" customWidth="1"/>
    <col min="3856" max="3856" width="11" style="1"/>
    <col min="3857" max="3857" width="10.125" style="1" bestFit="1" customWidth="1"/>
    <col min="3858" max="4096" width="11" style="1"/>
    <col min="4097" max="4097" width="16" style="1" customWidth="1"/>
    <col min="4098" max="4098" width="49.625" style="1" customWidth="1"/>
    <col min="4099" max="4099" width="15.25" style="1" customWidth="1"/>
    <col min="4100" max="4106" width="14.625" style="1" customWidth="1"/>
    <col min="4107" max="4107" width="0" style="1" hidden="1" customWidth="1"/>
    <col min="4108" max="4108" width="7.875" style="1" customWidth="1"/>
    <col min="4109" max="4109" width="17.375" style="1" customWidth="1"/>
    <col min="4110" max="4110" width="14.625" style="1" customWidth="1"/>
    <col min="4111" max="4111" width="8.5" style="1" customWidth="1"/>
    <col min="4112" max="4112" width="11" style="1"/>
    <col min="4113" max="4113" width="10.125" style="1" bestFit="1" customWidth="1"/>
    <col min="4114" max="4352" width="11" style="1"/>
    <col min="4353" max="4353" width="16" style="1" customWidth="1"/>
    <col min="4354" max="4354" width="49.625" style="1" customWidth="1"/>
    <col min="4355" max="4355" width="15.25" style="1" customWidth="1"/>
    <col min="4356" max="4362" width="14.625" style="1" customWidth="1"/>
    <col min="4363" max="4363" width="0" style="1" hidden="1" customWidth="1"/>
    <col min="4364" max="4364" width="7.875" style="1" customWidth="1"/>
    <col min="4365" max="4365" width="17.375" style="1" customWidth="1"/>
    <col min="4366" max="4366" width="14.625" style="1" customWidth="1"/>
    <col min="4367" max="4367" width="8.5" style="1" customWidth="1"/>
    <col min="4368" max="4368" width="11" style="1"/>
    <col min="4369" max="4369" width="10.125" style="1" bestFit="1" customWidth="1"/>
    <col min="4370" max="4608" width="11" style="1"/>
    <col min="4609" max="4609" width="16" style="1" customWidth="1"/>
    <col min="4610" max="4610" width="49.625" style="1" customWidth="1"/>
    <col min="4611" max="4611" width="15.25" style="1" customWidth="1"/>
    <col min="4612" max="4618" width="14.625" style="1" customWidth="1"/>
    <col min="4619" max="4619" width="0" style="1" hidden="1" customWidth="1"/>
    <col min="4620" max="4620" width="7.875" style="1" customWidth="1"/>
    <col min="4621" max="4621" width="17.375" style="1" customWidth="1"/>
    <col min="4622" max="4622" width="14.625" style="1" customWidth="1"/>
    <col min="4623" max="4623" width="8.5" style="1" customWidth="1"/>
    <col min="4624" max="4624" width="11" style="1"/>
    <col min="4625" max="4625" width="10.125" style="1" bestFit="1" customWidth="1"/>
    <col min="4626" max="4864" width="11" style="1"/>
    <col min="4865" max="4865" width="16" style="1" customWidth="1"/>
    <col min="4866" max="4866" width="49.625" style="1" customWidth="1"/>
    <col min="4867" max="4867" width="15.25" style="1" customWidth="1"/>
    <col min="4868" max="4874" width="14.625" style="1" customWidth="1"/>
    <col min="4875" max="4875" width="0" style="1" hidden="1" customWidth="1"/>
    <col min="4876" max="4876" width="7.875" style="1" customWidth="1"/>
    <col min="4877" max="4877" width="17.375" style="1" customWidth="1"/>
    <col min="4878" max="4878" width="14.625" style="1" customWidth="1"/>
    <col min="4879" max="4879" width="8.5" style="1" customWidth="1"/>
    <col min="4880" max="4880" width="11" style="1"/>
    <col min="4881" max="4881" width="10.125" style="1" bestFit="1" customWidth="1"/>
    <col min="4882" max="5120" width="11" style="1"/>
    <col min="5121" max="5121" width="16" style="1" customWidth="1"/>
    <col min="5122" max="5122" width="49.625" style="1" customWidth="1"/>
    <col min="5123" max="5123" width="15.25" style="1" customWidth="1"/>
    <col min="5124" max="5130" width="14.625" style="1" customWidth="1"/>
    <col min="5131" max="5131" width="0" style="1" hidden="1" customWidth="1"/>
    <col min="5132" max="5132" width="7.875" style="1" customWidth="1"/>
    <col min="5133" max="5133" width="17.375" style="1" customWidth="1"/>
    <col min="5134" max="5134" width="14.625" style="1" customWidth="1"/>
    <col min="5135" max="5135" width="8.5" style="1" customWidth="1"/>
    <col min="5136" max="5136" width="11" style="1"/>
    <col min="5137" max="5137" width="10.125" style="1" bestFit="1" customWidth="1"/>
    <col min="5138" max="5376" width="11" style="1"/>
    <col min="5377" max="5377" width="16" style="1" customWidth="1"/>
    <col min="5378" max="5378" width="49.625" style="1" customWidth="1"/>
    <col min="5379" max="5379" width="15.25" style="1" customWidth="1"/>
    <col min="5380" max="5386" width="14.625" style="1" customWidth="1"/>
    <col min="5387" max="5387" width="0" style="1" hidden="1" customWidth="1"/>
    <col min="5388" max="5388" width="7.875" style="1" customWidth="1"/>
    <col min="5389" max="5389" width="17.375" style="1" customWidth="1"/>
    <col min="5390" max="5390" width="14.625" style="1" customWidth="1"/>
    <col min="5391" max="5391" width="8.5" style="1" customWidth="1"/>
    <col min="5392" max="5392" width="11" style="1"/>
    <col min="5393" max="5393" width="10.125" style="1" bestFit="1" customWidth="1"/>
    <col min="5394" max="5632" width="11" style="1"/>
    <col min="5633" max="5633" width="16" style="1" customWidth="1"/>
    <col min="5634" max="5634" width="49.625" style="1" customWidth="1"/>
    <col min="5635" max="5635" width="15.25" style="1" customWidth="1"/>
    <col min="5636" max="5642" width="14.625" style="1" customWidth="1"/>
    <col min="5643" max="5643" width="0" style="1" hidden="1" customWidth="1"/>
    <col min="5644" max="5644" width="7.875" style="1" customWidth="1"/>
    <col min="5645" max="5645" width="17.375" style="1" customWidth="1"/>
    <col min="5646" max="5646" width="14.625" style="1" customWidth="1"/>
    <col min="5647" max="5647" width="8.5" style="1" customWidth="1"/>
    <col min="5648" max="5648" width="11" style="1"/>
    <col min="5649" max="5649" width="10.125" style="1" bestFit="1" customWidth="1"/>
    <col min="5650" max="5888" width="11" style="1"/>
    <col min="5889" max="5889" width="16" style="1" customWidth="1"/>
    <col min="5890" max="5890" width="49.625" style="1" customWidth="1"/>
    <col min="5891" max="5891" width="15.25" style="1" customWidth="1"/>
    <col min="5892" max="5898" width="14.625" style="1" customWidth="1"/>
    <col min="5899" max="5899" width="0" style="1" hidden="1" customWidth="1"/>
    <col min="5900" max="5900" width="7.875" style="1" customWidth="1"/>
    <col min="5901" max="5901" width="17.375" style="1" customWidth="1"/>
    <col min="5902" max="5902" width="14.625" style="1" customWidth="1"/>
    <col min="5903" max="5903" width="8.5" style="1" customWidth="1"/>
    <col min="5904" max="5904" width="11" style="1"/>
    <col min="5905" max="5905" width="10.125" style="1" bestFit="1" customWidth="1"/>
    <col min="5906" max="6144" width="11" style="1"/>
    <col min="6145" max="6145" width="16" style="1" customWidth="1"/>
    <col min="6146" max="6146" width="49.625" style="1" customWidth="1"/>
    <col min="6147" max="6147" width="15.25" style="1" customWidth="1"/>
    <col min="6148" max="6154" width="14.625" style="1" customWidth="1"/>
    <col min="6155" max="6155" width="0" style="1" hidden="1" customWidth="1"/>
    <col min="6156" max="6156" width="7.875" style="1" customWidth="1"/>
    <col min="6157" max="6157" width="17.375" style="1" customWidth="1"/>
    <col min="6158" max="6158" width="14.625" style="1" customWidth="1"/>
    <col min="6159" max="6159" width="8.5" style="1" customWidth="1"/>
    <col min="6160" max="6160" width="11" style="1"/>
    <col min="6161" max="6161" width="10.125" style="1" bestFit="1" customWidth="1"/>
    <col min="6162" max="6400" width="11" style="1"/>
    <col min="6401" max="6401" width="16" style="1" customWidth="1"/>
    <col min="6402" max="6402" width="49.625" style="1" customWidth="1"/>
    <col min="6403" max="6403" width="15.25" style="1" customWidth="1"/>
    <col min="6404" max="6410" width="14.625" style="1" customWidth="1"/>
    <col min="6411" max="6411" width="0" style="1" hidden="1" customWidth="1"/>
    <col min="6412" max="6412" width="7.875" style="1" customWidth="1"/>
    <col min="6413" max="6413" width="17.375" style="1" customWidth="1"/>
    <col min="6414" max="6414" width="14.625" style="1" customWidth="1"/>
    <col min="6415" max="6415" width="8.5" style="1" customWidth="1"/>
    <col min="6416" max="6416" width="11" style="1"/>
    <col min="6417" max="6417" width="10.125" style="1" bestFit="1" customWidth="1"/>
    <col min="6418" max="6656" width="11" style="1"/>
    <col min="6657" max="6657" width="16" style="1" customWidth="1"/>
    <col min="6658" max="6658" width="49.625" style="1" customWidth="1"/>
    <col min="6659" max="6659" width="15.25" style="1" customWidth="1"/>
    <col min="6660" max="6666" width="14.625" style="1" customWidth="1"/>
    <col min="6667" max="6667" width="0" style="1" hidden="1" customWidth="1"/>
    <col min="6668" max="6668" width="7.875" style="1" customWidth="1"/>
    <col min="6669" max="6669" width="17.375" style="1" customWidth="1"/>
    <col min="6670" max="6670" width="14.625" style="1" customWidth="1"/>
    <col min="6671" max="6671" width="8.5" style="1" customWidth="1"/>
    <col min="6672" max="6672" width="11" style="1"/>
    <col min="6673" max="6673" width="10.125" style="1" bestFit="1" customWidth="1"/>
    <col min="6674" max="6912" width="11" style="1"/>
    <col min="6913" max="6913" width="16" style="1" customWidth="1"/>
    <col min="6914" max="6914" width="49.625" style="1" customWidth="1"/>
    <col min="6915" max="6915" width="15.25" style="1" customWidth="1"/>
    <col min="6916" max="6922" width="14.625" style="1" customWidth="1"/>
    <col min="6923" max="6923" width="0" style="1" hidden="1" customWidth="1"/>
    <col min="6924" max="6924" width="7.875" style="1" customWidth="1"/>
    <col min="6925" max="6925" width="17.375" style="1" customWidth="1"/>
    <col min="6926" max="6926" width="14.625" style="1" customWidth="1"/>
    <col min="6927" max="6927" width="8.5" style="1" customWidth="1"/>
    <col min="6928" max="6928" width="11" style="1"/>
    <col min="6929" max="6929" width="10.125" style="1" bestFit="1" customWidth="1"/>
    <col min="6930" max="7168" width="11" style="1"/>
    <col min="7169" max="7169" width="16" style="1" customWidth="1"/>
    <col min="7170" max="7170" width="49.625" style="1" customWidth="1"/>
    <col min="7171" max="7171" width="15.25" style="1" customWidth="1"/>
    <col min="7172" max="7178" width="14.625" style="1" customWidth="1"/>
    <col min="7179" max="7179" width="0" style="1" hidden="1" customWidth="1"/>
    <col min="7180" max="7180" width="7.875" style="1" customWidth="1"/>
    <col min="7181" max="7181" width="17.375" style="1" customWidth="1"/>
    <col min="7182" max="7182" width="14.625" style="1" customWidth="1"/>
    <col min="7183" max="7183" width="8.5" style="1" customWidth="1"/>
    <col min="7184" max="7184" width="11" style="1"/>
    <col min="7185" max="7185" width="10.125" style="1" bestFit="1" customWidth="1"/>
    <col min="7186" max="7424" width="11" style="1"/>
    <col min="7425" max="7425" width="16" style="1" customWidth="1"/>
    <col min="7426" max="7426" width="49.625" style="1" customWidth="1"/>
    <col min="7427" max="7427" width="15.25" style="1" customWidth="1"/>
    <col min="7428" max="7434" width="14.625" style="1" customWidth="1"/>
    <col min="7435" max="7435" width="0" style="1" hidden="1" customWidth="1"/>
    <col min="7436" max="7436" width="7.875" style="1" customWidth="1"/>
    <col min="7437" max="7437" width="17.375" style="1" customWidth="1"/>
    <col min="7438" max="7438" width="14.625" style="1" customWidth="1"/>
    <col min="7439" max="7439" width="8.5" style="1" customWidth="1"/>
    <col min="7440" max="7440" width="11" style="1"/>
    <col min="7441" max="7441" width="10.125" style="1" bestFit="1" customWidth="1"/>
    <col min="7442" max="7680" width="11" style="1"/>
    <col min="7681" max="7681" width="16" style="1" customWidth="1"/>
    <col min="7682" max="7682" width="49.625" style="1" customWidth="1"/>
    <col min="7683" max="7683" width="15.25" style="1" customWidth="1"/>
    <col min="7684" max="7690" width="14.625" style="1" customWidth="1"/>
    <col min="7691" max="7691" width="0" style="1" hidden="1" customWidth="1"/>
    <col min="7692" max="7692" width="7.875" style="1" customWidth="1"/>
    <col min="7693" max="7693" width="17.375" style="1" customWidth="1"/>
    <col min="7694" max="7694" width="14.625" style="1" customWidth="1"/>
    <col min="7695" max="7695" width="8.5" style="1" customWidth="1"/>
    <col min="7696" max="7696" width="11" style="1"/>
    <col min="7697" max="7697" width="10.125" style="1" bestFit="1" customWidth="1"/>
    <col min="7698" max="7936" width="11" style="1"/>
    <col min="7937" max="7937" width="16" style="1" customWidth="1"/>
    <col min="7938" max="7938" width="49.625" style="1" customWidth="1"/>
    <col min="7939" max="7939" width="15.25" style="1" customWidth="1"/>
    <col min="7940" max="7946" width="14.625" style="1" customWidth="1"/>
    <col min="7947" max="7947" width="0" style="1" hidden="1" customWidth="1"/>
    <col min="7948" max="7948" width="7.875" style="1" customWidth="1"/>
    <col min="7949" max="7949" width="17.375" style="1" customWidth="1"/>
    <col min="7950" max="7950" width="14.625" style="1" customWidth="1"/>
    <col min="7951" max="7951" width="8.5" style="1" customWidth="1"/>
    <col min="7952" max="7952" width="11" style="1"/>
    <col min="7953" max="7953" width="10.125" style="1" bestFit="1" customWidth="1"/>
    <col min="7954" max="8192" width="11" style="1"/>
    <col min="8193" max="8193" width="16" style="1" customWidth="1"/>
    <col min="8194" max="8194" width="49.625" style="1" customWidth="1"/>
    <col min="8195" max="8195" width="15.25" style="1" customWidth="1"/>
    <col min="8196" max="8202" width="14.625" style="1" customWidth="1"/>
    <col min="8203" max="8203" width="0" style="1" hidden="1" customWidth="1"/>
    <col min="8204" max="8204" width="7.875" style="1" customWidth="1"/>
    <col min="8205" max="8205" width="17.375" style="1" customWidth="1"/>
    <col min="8206" max="8206" width="14.625" style="1" customWidth="1"/>
    <col min="8207" max="8207" width="8.5" style="1" customWidth="1"/>
    <col min="8208" max="8208" width="11" style="1"/>
    <col min="8209" max="8209" width="10.125" style="1" bestFit="1" customWidth="1"/>
    <col min="8210" max="8448" width="11" style="1"/>
    <col min="8449" max="8449" width="16" style="1" customWidth="1"/>
    <col min="8450" max="8450" width="49.625" style="1" customWidth="1"/>
    <col min="8451" max="8451" width="15.25" style="1" customWidth="1"/>
    <col min="8452" max="8458" width="14.625" style="1" customWidth="1"/>
    <col min="8459" max="8459" width="0" style="1" hidden="1" customWidth="1"/>
    <col min="8460" max="8460" width="7.875" style="1" customWidth="1"/>
    <col min="8461" max="8461" width="17.375" style="1" customWidth="1"/>
    <col min="8462" max="8462" width="14.625" style="1" customWidth="1"/>
    <col min="8463" max="8463" width="8.5" style="1" customWidth="1"/>
    <col min="8464" max="8464" width="11" style="1"/>
    <col min="8465" max="8465" width="10.125" style="1" bestFit="1" customWidth="1"/>
    <col min="8466" max="8704" width="11" style="1"/>
    <col min="8705" max="8705" width="16" style="1" customWidth="1"/>
    <col min="8706" max="8706" width="49.625" style="1" customWidth="1"/>
    <col min="8707" max="8707" width="15.25" style="1" customWidth="1"/>
    <col min="8708" max="8714" width="14.625" style="1" customWidth="1"/>
    <col min="8715" max="8715" width="0" style="1" hidden="1" customWidth="1"/>
    <col min="8716" max="8716" width="7.875" style="1" customWidth="1"/>
    <col min="8717" max="8717" width="17.375" style="1" customWidth="1"/>
    <col min="8718" max="8718" width="14.625" style="1" customWidth="1"/>
    <col min="8719" max="8719" width="8.5" style="1" customWidth="1"/>
    <col min="8720" max="8720" width="11" style="1"/>
    <col min="8721" max="8721" width="10.125" style="1" bestFit="1" customWidth="1"/>
    <col min="8722" max="8960" width="11" style="1"/>
    <col min="8961" max="8961" width="16" style="1" customWidth="1"/>
    <col min="8962" max="8962" width="49.625" style="1" customWidth="1"/>
    <col min="8963" max="8963" width="15.25" style="1" customWidth="1"/>
    <col min="8964" max="8970" width="14.625" style="1" customWidth="1"/>
    <col min="8971" max="8971" width="0" style="1" hidden="1" customWidth="1"/>
    <col min="8972" max="8972" width="7.875" style="1" customWidth="1"/>
    <col min="8973" max="8973" width="17.375" style="1" customWidth="1"/>
    <col min="8974" max="8974" width="14.625" style="1" customWidth="1"/>
    <col min="8975" max="8975" width="8.5" style="1" customWidth="1"/>
    <col min="8976" max="8976" width="11" style="1"/>
    <col min="8977" max="8977" width="10.125" style="1" bestFit="1" customWidth="1"/>
    <col min="8978" max="9216" width="11" style="1"/>
    <col min="9217" max="9217" width="16" style="1" customWidth="1"/>
    <col min="9218" max="9218" width="49.625" style="1" customWidth="1"/>
    <col min="9219" max="9219" width="15.25" style="1" customWidth="1"/>
    <col min="9220" max="9226" width="14.625" style="1" customWidth="1"/>
    <col min="9227" max="9227" width="0" style="1" hidden="1" customWidth="1"/>
    <col min="9228" max="9228" width="7.875" style="1" customWidth="1"/>
    <col min="9229" max="9229" width="17.375" style="1" customWidth="1"/>
    <col min="9230" max="9230" width="14.625" style="1" customWidth="1"/>
    <col min="9231" max="9231" width="8.5" style="1" customWidth="1"/>
    <col min="9232" max="9232" width="11" style="1"/>
    <col min="9233" max="9233" width="10.125" style="1" bestFit="1" customWidth="1"/>
    <col min="9234" max="9472" width="11" style="1"/>
    <col min="9473" max="9473" width="16" style="1" customWidth="1"/>
    <col min="9474" max="9474" width="49.625" style="1" customWidth="1"/>
    <col min="9475" max="9475" width="15.25" style="1" customWidth="1"/>
    <col min="9476" max="9482" width="14.625" style="1" customWidth="1"/>
    <col min="9483" max="9483" width="0" style="1" hidden="1" customWidth="1"/>
    <col min="9484" max="9484" width="7.875" style="1" customWidth="1"/>
    <col min="9485" max="9485" width="17.375" style="1" customWidth="1"/>
    <col min="9486" max="9486" width="14.625" style="1" customWidth="1"/>
    <col min="9487" max="9487" width="8.5" style="1" customWidth="1"/>
    <col min="9488" max="9488" width="11" style="1"/>
    <col min="9489" max="9489" width="10.125" style="1" bestFit="1" customWidth="1"/>
    <col min="9490" max="9728" width="11" style="1"/>
    <col min="9729" max="9729" width="16" style="1" customWidth="1"/>
    <col min="9730" max="9730" width="49.625" style="1" customWidth="1"/>
    <col min="9731" max="9731" width="15.25" style="1" customWidth="1"/>
    <col min="9732" max="9738" width="14.625" style="1" customWidth="1"/>
    <col min="9739" max="9739" width="0" style="1" hidden="1" customWidth="1"/>
    <col min="9740" max="9740" width="7.875" style="1" customWidth="1"/>
    <col min="9741" max="9741" width="17.375" style="1" customWidth="1"/>
    <col min="9742" max="9742" width="14.625" style="1" customWidth="1"/>
    <col min="9743" max="9743" width="8.5" style="1" customWidth="1"/>
    <col min="9744" max="9744" width="11" style="1"/>
    <col min="9745" max="9745" width="10.125" style="1" bestFit="1" customWidth="1"/>
    <col min="9746" max="9984" width="11" style="1"/>
    <col min="9985" max="9985" width="16" style="1" customWidth="1"/>
    <col min="9986" max="9986" width="49.625" style="1" customWidth="1"/>
    <col min="9987" max="9987" width="15.25" style="1" customWidth="1"/>
    <col min="9988" max="9994" width="14.625" style="1" customWidth="1"/>
    <col min="9995" max="9995" width="0" style="1" hidden="1" customWidth="1"/>
    <col min="9996" max="9996" width="7.875" style="1" customWidth="1"/>
    <col min="9997" max="9997" width="17.375" style="1" customWidth="1"/>
    <col min="9998" max="9998" width="14.625" style="1" customWidth="1"/>
    <col min="9999" max="9999" width="8.5" style="1" customWidth="1"/>
    <col min="10000" max="10000" width="11" style="1"/>
    <col min="10001" max="10001" width="10.125" style="1" bestFit="1" customWidth="1"/>
    <col min="10002" max="10240" width="11" style="1"/>
    <col min="10241" max="10241" width="16" style="1" customWidth="1"/>
    <col min="10242" max="10242" width="49.625" style="1" customWidth="1"/>
    <col min="10243" max="10243" width="15.25" style="1" customWidth="1"/>
    <col min="10244" max="10250" width="14.625" style="1" customWidth="1"/>
    <col min="10251" max="10251" width="0" style="1" hidden="1" customWidth="1"/>
    <col min="10252" max="10252" width="7.875" style="1" customWidth="1"/>
    <col min="10253" max="10253" width="17.375" style="1" customWidth="1"/>
    <col min="10254" max="10254" width="14.625" style="1" customWidth="1"/>
    <col min="10255" max="10255" width="8.5" style="1" customWidth="1"/>
    <col min="10256" max="10256" width="11" style="1"/>
    <col min="10257" max="10257" width="10.125" style="1" bestFit="1" customWidth="1"/>
    <col min="10258" max="10496" width="11" style="1"/>
    <col min="10497" max="10497" width="16" style="1" customWidth="1"/>
    <col min="10498" max="10498" width="49.625" style="1" customWidth="1"/>
    <col min="10499" max="10499" width="15.25" style="1" customWidth="1"/>
    <col min="10500" max="10506" width="14.625" style="1" customWidth="1"/>
    <col min="10507" max="10507" width="0" style="1" hidden="1" customWidth="1"/>
    <col min="10508" max="10508" width="7.875" style="1" customWidth="1"/>
    <col min="10509" max="10509" width="17.375" style="1" customWidth="1"/>
    <col min="10510" max="10510" width="14.625" style="1" customWidth="1"/>
    <col min="10511" max="10511" width="8.5" style="1" customWidth="1"/>
    <col min="10512" max="10512" width="11" style="1"/>
    <col min="10513" max="10513" width="10.125" style="1" bestFit="1" customWidth="1"/>
    <col min="10514" max="10752" width="11" style="1"/>
    <col min="10753" max="10753" width="16" style="1" customWidth="1"/>
    <col min="10754" max="10754" width="49.625" style="1" customWidth="1"/>
    <col min="10755" max="10755" width="15.25" style="1" customWidth="1"/>
    <col min="10756" max="10762" width="14.625" style="1" customWidth="1"/>
    <col min="10763" max="10763" width="0" style="1" hidden="1" customWidth="1"/>
    <col min="10764" max="10764" width="7.875" style="1" customWidth="1"/>
    <col min="10765" max="10765" width="17.375" style="1" customWidth="1"/>
    <col min="10766" max="10766" width="14.625" style="1" customWidth="1"/>
    <col min="10767" max="10767" width="8.5" style="1" customWidth="1"/>
    <col min="10768" max="10768" width="11" style="1"/>
    <col min="10769" max="10769" width="10.125" style="1" bestFit="1" customWidth="1"/>
    <col min="10770" max="11008" width="11" style="1"/>
    <col min="11009" max="11009" width="16" style="1" customWidth="1"/>
    <col min="11010" max="11010" width="49.625" style="1" customWidth="1"/>
    <col min="11011" max="11011" width="15.25" style="1" customWidth="1"/>
    <col min="11012" max="11018" width="14.625" style="1" customWidth="1"/>
    <col min="11019" max="11019" width="0" style="1" hidden="1" customWidth="1"/>
    <col min="11020" max="11020" width="7.875" style="1" customWidth="1"/>
    <col min="11021" max="11021" width="17.375" style="1" customWidth="1"/>
    <col min="11022" max="11022" width="14.625" style="1" customWidth="1"/>
    <col min="11023" max="11023" width="8.5" style="1" customWidth="1"/>
    <col min="11024" max="11024" width="11" style="1"/>
    <col min="11025" max="11025" width="10.125" style="1" bestFit="1" customWidth="1"/>
    <col min="11026" max="11264" width="11" style="1"/>
    <col min="11265" max="11265" width="16" style="1" customWidth="1"/>
    <col min="11266" max="11266" width="49.625" style="1" customWidth="1"/>
    <col min="11267" max="11267" width="15.25" style="1" customWidth="1"/>
    <col min="11268" max="11274" width="14.625" style="1" customWidth="1"/>
    <col min="11275" max="11275" width="0" style="1" hidden="1" customWidth="1"/>
    <col min="11276" max="11276" width="7.875" style="1" customWidth="1"/>
    <col min="11277" max="11277" width="17.375" style="1" customWidth="1"/>
    <col min="11278" max="11278" width="14.625" style="1" customWidth="1"/>
    <col min="11279" max="11279" width="8.5" style="1" customWidth="1"/>
    <col min="11280" max="11280" width="11" style="1"/>
    <col min="11281" max="11281" width="10.125" style="1" bestFit="1" customWidth="1"/>
    <col min="11282" max="11520" width="11" style="1"/>
    <col min="11521" max="11521" width="16" style="1" customWidth="1"/>
    <col min="11522" max="11522" width="49.625" style="1" customWidth="1"/>
    <col min="11523" max="11523" width="15.25" style="1" customWidth="1"/>
    <col min="11524" max="11530" width="14.625" style="1" customWidth="1"/>
    <col min="11531" max="11531" width="0" style="1" hidden="1" customWidth="1"/>
    <col min="11532" max="11532" width="7.875" style="1" customWidth="1"/>
    <col min="11533" max="11533" width="17.375" style="1" customWidth="1"/>
    <col min="11534" max="11534" width="14.625" style="1" customWidth="1"/>
    <col min="11535" max="11535" width="8.5" style="1" customWidth="1"/>
    <col min="11536" max="11536" width="11" style="1"/>
    <col min="11537" max="11537" width="10.125" style="1" bestFit="1" customWidth="1"/>
    <col min="11538" max="11776" width="11" style="1"/>
    <col min="11777" max="11777" width="16" style="1" customWidth="1"/>
    <col min="11778" max="11778" width="49.625" style="1" customWidth="1"/>
    <col min="11779" max="11779" width="15.25" style="1" customWidth="1"/>
    <col min="11780" max="11786" width="14.625" style="1" customWidth="1"/>
    <col min="11787" max="11787" width="0" style="1" hidden="1" customWidth="1"/>
    <col min="11788" max="11788" width="7.875" style="1" customWidth="1"/>
    <col min="11789" max="11789" width="17.375" style="1" customWidth="1"/>
    <col min="11790" max="11790" width="14.625" style="1" customWidth="1"/>
    <col min="11791" max="11791" width="8.5" style="1" customWidth="1"/>
    <col min="11792" max="11792" width="11" style="1"/>
    <col min="11793" max="11793" width="10.125" style="1" bestFit="1" customWidth="1"/>
    <col min="11794" max="12032" width="11" style="1"/>
    <col min="12033" max="12033" width="16" style="1" customWidth="1"/>
    <col min="12034" max="12034" width="49.625" style="1" customWidth="1"/>
    <col min="12035" max="12035" width="15.25" style="1" customWidth="1"/>
    <col min="12036" max="12042" width="14.625" style="1" customWidth="1"/>
    <col min="12043" max="12043" width="0" style="1" hidden="1" customWidth="1"/>
    <col min="12044" max="12044" width="7.875" style="1" customWidth="1"/>
    <col min="12045" max="12045" width="17.375" style="1" customWidth="1"/>
    <col min="12046" max="12046" width="14.625" style="1" customWidth="1"/>
    <col min="12047" max="12047" width="8.5" style="1" customWidth="1"/>
    <col min="12048" max="12048" width="11" style="1"/>
    <col min="12049" max="12049" width="10.125" style="1" bestFit="1" customWidth="1"/>
    <col min="12050" max="12288" width="11" style="1"/>
    <col min="12289" max="12289" width="16" style="1" customWidth="1"/>
    <col min="12290" max="12290" width="49.625" style="1" customWidth="1"/>
    <col min="12291" max="12291" width="15.25" style="1" customWidth="1"/>
    <col min="12292" max="12298" width="14.625" style="1" customWidth="1"/>
    <col min="12299" max="12299" width="0" style="1" hidden="1" customWidth="1"/>
    <col min="12300" max="12300" width="7.875" style="1" customWidth="1"/>
    <col min="12301" max="12301" width="17.375" style="1" customWidth="1"/>
    <col min="12302" max="12302" width="14.625" style="1" customWidth="1"/>
    <col min="12303" max="12303" width="8.5" style="1" customWidth="1"/>
    <col min="12304" max="12304" width="11" style="1"/>
    <col min="12305" max="12305" width="10.125" style="1" bestFit="1" customWidth="1"/>
    <col min="12306" max="12544" width="11" style="1"/>
    <col min="12545" max="12545" width="16" style="1" customWidth="1"/>
    <col min="12546" max="12546" width="49.625" style="1" customWidth="1"/>
    <col min="12547" max="12547" width="15.25" style="1" customWidth="1"/>
    <col min="12548" max="12554" width="14.625" style="1" customWidth="1"/>
    <col min="12555" max="12555" width="0" style="1" hidden="1" customWidth="1"/>
    <col min="12556" max="12556" width="7.875" style="1" customWidth="1"/>
    <col min="12557" max="12557" width="17.375" style="1" customWidth="1"/>
    <col min="12558" max="12558" width="14.625" style="1" customWidth="1"/>
    <col min="12559" max="12559" width="8.5" style="1" customWidth="1"/>
    <col min="12560" max="12560" width="11" style="1"/>
    <col min="12561" max="12561" width="10.125" style="1" bestFit="1" customWidth="1"/>
    <col min="12562" max="12800" width="11" style="1"/>
    <col min="12801" max="12801" width="16" style="1" customWidth="1"/>
    <col min="12802" max="12802" width="49.625" style="1" customWidth="1"/>
    <col min="12803" max="12803" width="15.25" style="1" customWidth="1"/>
    <col min="12804" max="12810" width="14.625" style="1" customWidth="1"/>
    <col min="12811" max="12811" width="0" style="1" hidden="1" customWidth="1"/>
    <col min="12812" max="12812" width="7.875" style="1" customWidth="1"/>
    <col min="12813" max="12813" width="17.375" style="1" customWidth="1"/>
    <col min="12814" max="12814" width="14.625" style="1" customWidth="1"/>
    <col min="12815" max="12815" width="8.5" style="1" customWidth="1"/>
    <col min="12816" max="12816" width="11" style="1"/>
    <col min="12817" max="12817" width="10.125" style="1" bestFit="1" customWidth="1"/>
    <col min="12818" max="13056" width="11" style="1"/>
    <col min="13057" max="13057" width="16" style="1" customWidth="1"/>
    <col min="13058" max="13058" width="49.625" style="1" customWidth="1"/>
    <col min="13059" max="13059" width="15.25" style="1" customWidth="1"/>
    <col min="13060" max="13066" width="14.625" style="1" customWidth="1"/>
    <col min="13067" max="13067" width="0" style="1" hidden="1" customWidth="1"/>
    <col min="13068" max="13068" width="7.875" style="1" customWidth="1"/>
    <col min="13069" max="13069" width="17.375" style="1" customWidth="1"/>
    <col min="13070" max="13070" width="14.625" style="1" customWidth="1"/>
    <col min="13071" max="13071" width="8.5" style="1" customWidth="1"/>
    <col min="13072" max="13072" width="11" style="1"/>
    <col min="13073" max="13073" width="10.125" style="1" bestFit="1" customWidth="1"/>
    <col min="13074" max="13312" width="11" style="1"/>
    <col min="13313" max="13313" width="16" style="1" customWidth="1"/>
    <col min="13314" max="13314" width="49.625" style="1" customWidth="1"/>
    <col min="13315" max="13315" width="15.25" style="1" customWidth="1"/>
    <col min="13316" max="13322" width="14.625" style="1" customWidth="1"/>
    <col min="13323" max="13323" width="0" style="1" hidden="1" customWidth="1"/>
    <col min="13324" max="13324" width="7.875" style="1" customWidth="1"/>
    <col min="13325" max="13325" width="17.375" style="1" customWidth="1"/>
    <col min="13326" max="13326" width="14.625" style="1" customWidth="1"/>
    <col min="13327" max="13327" width="8.5" style="1" customWidth="1"/>
    <col min="13328" max="13328" width="11" style="1"/>
    <col min="13329" max="13329" width="10.125" style="1" bestFit="1" customWidth="1"/>
    <col min="13330" max="13568" width="11" style="1"/>
    <col min="13569" max="13569" width="16" style="1" customWidth="1"/>
    <col min="13570" max="13570" width="49.625" style="1" customWidth="1"/>
    <col min="13571" max="13571" width="15.25" style="1" customWidth="1"/>
    <col min="13572" max="13578" width="14.625" style="1" customWidth="1"/>
    <col min="13579" max="13579" width="0" style="1" hidden="1" customWidth="1"/>
    <col min="13580" max="13580" width="7.875" style="1" customWidth="1"/>
    <col min="13581" max="13581" width="17.375" style="1" customWidth="1"/>
    <col min="13582" max="13582" width="14.625" style="1" customWidth="1"/>
    <col min="13583" max="13583" width="8.5" style="1" customWidth="1"/>
    <col min="13584" max="13584" width="11" style="1"/>
    <col min="13585" max="13585" width="10.125" style="1" bestFit="1" customWidth="1"/>
    <col min="13586" max="13824" width="11" style="1"/>
    <col min="13825" max="13825" width="16" style="1" customWidth="1"/>
    <col min="13826" max="13826" width="49.625" style="1" customWidth="1"/>
    <col min="13827" max="13827" width="15.25" style="1" customWidth="1"/>
    <col min="13828" max="13834" width="14.625" style="1" customWidth="1"/>
    <col min="13835" max="13835" width="0" style="1" hidden="1" customWidth="1"/>
    <col min="13836" max="13836" width="7.875" style="1" customWidth="1"/>
    <col min="13837" max="13837" width="17.375" style="1" customWidth="1"/>
    <col min="13838" max="13838" width="14.625" style="1" customWidth="1"/>
    <col min="13839" max="13839" width="8.5" style="1" customWidth="1"/>
    <col min="13840" max="13840" width="11" style="1"/>
    <col min="13841" max="13841" width="10.125" style="1" bestFit="1" customWidth="1"/>
    <col min="13842" max="14080" width="11" style="1"/>
    <col min="14081" max="14081" width="16" style="1" customWidth="1"/>
    <col min="14082" max="14082" width="49.625" style="1" customWidth="1"/>
    <col min="14083" max="14083" width="15.25" style="1" customWidth="1"/>
    <col min="14084" max="14090" width="14.625" style="1" customWidth="1"/>
    <col min="14091" max="14091" width="0" style="1" hidden="1" customWidth="1"/>
    <col min="14092" max="14092" width="7.875" style="1" customWidth="1"/>
    <col min="14093" max="14093" width="17.375" style="1" customWidth="1"/>
    <col min="14094" max="14094" width="14.625" style="1" customWidth="1"/>
    <col min="14095" max="14095" width="8.5" style="1" customWidth="1"/>
    <col min="14096" max="14096" width="11" style="1"/>
    <col min="14097" max="14097" width="10.125" style="1" bestFit="1" customWidth="1"/>
    <col min="14098" max="14336" width="11" style="1"/>
    <col min="14337" max="14337" width="16" style="1" customWidth="1"/>
    <col min="14338" max="14338" width="49.625" style="1" customWidth="1"/>
    <col min="14339" max="14339" width="15.25" style="1" customWidth="1"/>
    <col min="14340" max="14346" width="14.625" style="1" customWidth="1"/>
    <col min="14347" max="14347" width="0" style="1" hidden="1" customWidth="1"/>
    <col min="14348" max="14348" width="7.875" style="1" customWidth="1"/>
    <col min="14349" max="14349" width="17.375" style="1" customWidth="1"/>
    <col min="14350" max="14350" width="14.625" style="1" customWidth="1"/>
    <col min="14351" max="14351" width="8.5" style="1" customWidth="1"/>
    <col min="14352" max="14352" width="11" style="1"/>
    <col min="14353" max="14353" width="10.125" style="1" bestFit="1" customWidth="1"/>
    <col min="14354" max="14592" width="11" style="1"/>
    <col min="14593" max="14593" width="16" style="1" customWidth="1"/>
    <col min="14594" max="14594" width="49.625" style="1" customWidth="1"/>
    <col min="14595" max="14595" width="15.25" style="1" customWidth="1"/>
    <col min="14596" max="14602" width="14.625" style="1" customWidth="1"/>
    <col min="14603" max="14603" width="0" style="1" hidden="1" customWidth="1"/>
    <col min="14604" max="14604" width="7.875" style="1" customWidth="1"/>
    <col min="14605" max="14605" width="17.375" style="1" customWidth="1"/>
    <col min="14606" max="14606" width="14.625" style="1" customWidth="1"/>
    <col min="14607" max="14607" width="8.5" style="1" customWidth="1"/>
    <col min="14608" max="14608" width="11" style="1"/>
    <col min="14609" max="14609" width="10.125" style="1" bestFit="1" customWidth="1"/>
    <col min="14610" max="14848" width="11" style="1"/>
    <col min="14849" max="14849" width="16" style="1" customWidth="1"/>
    <col min="14850" max="14850" width="49.625" style="1" customWidth="1"/>
    <col min="14851" max="14851" width="15.25" style="1" customWidth="1"/>
    <col min="14852" max="14858" width="14.625" style="1" customWidth="1"/>
    <col min="14859" max="14859" width="0" style="1" hidden="1" customWidth="1"/>
    <col min="14860" max="14860" width="7.875" style="1" customWidth="1"/>
    <col min="14861" max="14861" width="17.375" style="1" customWidth="1"/>
    <col min="14862" max="14862" width="14.625" style="1" customWidth="1"/>
    <col min="14863" max="14863" width="8.5" style="1" customWidth="1"/>
    <col min="14864" max="14864" width="11" style="1"/>
    <col min="14865" max="14865" width="10.125" style="1" bestFit="1" customWidth="1"/>
    <col min="14866" max="15104" width="11" style="1"/>
    <col min="15105" max="15105" width="16" style="1" customWidth="1"/>
    <col min="15106" max="15106" width="49.625" style="1" customWidth="1"/>
    <col min="15107" max="15107" width="15.25" style="1" customWidth="1"/>
    <col min="15108" max="15114" width="14.625" style="1" customWidth="1"/>
    <col min="15115" max="15115" width="0" style="1" hidden="1" customWidth="1"/>
    <col min="15116" max="15116" width="7.875" style="1" customWidth="1"/>
    <col min="15117" max="15117" width="17.375" style="1" customWidth="1"/>
    <col min="15118" max="15118" width="14.625" style="1" customWidth="1"/>
    <col min="15119" max="15119" width="8.5" style="1" customWidth="1"/>
    <col min="15120" max="15120" width="11" style="1"/>
    <col min="15121" max="15121" width="10.125" style="1" bestFit="1" customWidth="1"/>
    <col min="15122" max="15360" width="11" style="1"/>
    <col min="15361" max="15361" width="16" style="1" customWidth="1"/>
    <col min="15362" max="15362" width="49.625" style="1" customWidth="1"/>
    <col min="15363" max="15363" width="15.25" style="1" customWidth="1"/>
    <col min="15364" max="15370" width="14.625" style="1" customWidth="1"/>
    <col min="15371" max="15371" width="0" style="1" hidden="1" customWidth="1"/>
    <col min="15372" max="15372" width="7.875" style="1" customWidth="1"/>
    <col min="15373" max="15373" width="17.375" style="1" customWidth="1"/>
    <col min="15374" max="15374" width="14.625" style="1" customWidth="1"/>
    <col min="15375" max="15375" width="8.5" style="1" customWidth="1"/>
    <col min="15376" max="15376" width="11" style="1"/>
    <col min="15377" max="15377" width="10.125" style="1" bestFit="1" customWidth="1"/>
    <col min="15378" max="15616" width="11" style="1"/>
    <col min="15617" max="15617" width="16" style="1" customWidth="1"/>
    <col min="15618" max="15618" width="49.625" style="1" customWidth="1"/>
    <col min="15619" max="15619" width="15.25" style="1" customWidth="1"/>
    <col min="15620" max="15626" width="14.625" style="1" customWidth="1"/>
    <col min="15627" max="15627" width="0" style="1" hidden="1" customWidth="1"/>
    <col min="15628" max="15628" width="7.875" style="1" customWidth="1"/>
    <col min="15629" max="15629" width="17.375" style="1" customWidth="1"/>
    <col min="15630" max="15630" width="14.625" style="1" customWidth="1"/>
    <col min="15631" max="15631" width="8.5" style="1" customWidth="1"/>
    <col min="15632" max="15632" width="11" style="1"/>
    <col min="15633" max="15633" width="10.125" style="1" bestFit="1" customWidth="1"/>
    <col min="15634" max="15872" width="11" style="1"/>
    <col min="15873" max="15873" width="16" style="1" customWidth="1"/>
    <col min="15874" max="15874" width="49.625" style="1" customWidth="1"/>
    <col min="15875" max="15875" width="15.25" style="1" customWidth="1"/>
    <col min="15876" max="15882" width="14.625" style="1" customWidth="1"/>
    <col min="15883" max="15883" width="0" style="1" hidden="1" customWidth="1"/>
    <col min="15884" max="15884" width="7.875" style="1" customWidth="1"/>
    <col min="15885" max="15885" width="17.375" style="1" customWidth="1"/>
    <col min="15886" max="15886" width="14.625" style="1" customWidth="1"/>
    <col min="15887" max="15887" width="8.5" style="1" customWidth="1"/>
    <col min="15888" max="15888" width="11" style="1"/>
    <col min="15889" max="15889" width="10.125" style="1" bestFit="1" customWidth="1"/>
    <col min="15890" max="16128" width="11" style="1"/>
    <col min="16129" max="16129" width="16" style="1" customWidth="1"/>
    <col min="16130" max="16130" width="49.625" style="1" customWidth="1"/>
    <col min="16131" max="16131" width="15.25" style="1" customWidth="1"/>
    <col min="16132" max="16138" width="14.625" style="1" customWidth="1"/>
    <col min="16139" max="16139" width="0" style="1" hidden="1" customWidth="1"/>
    <col min="16140" max="16140" width="7.875" style="1" customWidth="1"/>
    <col min="16141" max="16141" width="17.375" style="1" customWidth="1"/>
    <col min="16142" max="16142" width="14.625" style="1" customWidth="1"/>
    <col min="16143" max="16143" width="8.5" style="1" customWidth="1"/>
    <col min="16144" max="16144" width="11" style="1"/>
    <col min="16145" max="16145" width="10.125" style="1" bestFit="1" customWidth="1"/>
    <col min="16146" max="16384" width="11" style="1"/>
  </cols>
  <sheetData>
    <row r="1" spans="1:15" ht="18" x14ac:dyDescent="0.2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</row>
    <row r="2" spans="1:15" ht="18" x14ac:dyDescent="0.25">
      <c r="A2" s="366" t="s">
        <v>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5" ht="18" x14ac:dyDescent="0.25">
      <c r="A3" s="366" t="s">
        <v>171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5" ht="18.75" thickBot="1" x14ac:dyDescent="0.3">
      <c r="A4" s="2"/>
      <c r="B4" s="4"/>
      <c r="C4" s="4"/>
      <c r="D4" s="4"/>
      <c r="E4" s="6"/>
      <c r="F4" s="6"/>
      <c r="G4" s="4"/>
      <c r="H4" s="4"/>
      <c r="I4" s="4"/>
      <c r="J4" s="4"/>
      <c r="K4" s="4"/>
      <c r="L4" s="4"/>
      <c r="M4" s="5"/>
      <c r="N4" s="4"/>
      <c r="O4" s="3"/>
    </row>
    <row r="5" spans="1:15" ht="23.25" customHeight="1" x14ac:dyDescent="0.25">
      <c r="A5" s="45" t="s">
        <v>2</v>
      </c>
      <c r="B5" s="46" t="s">
        <v>3</v>
      </c>
      <c r="C5" s="47" t="s">
        <v>4</v>
      </c>
      <c r="D5" s="48" t="s">
        <v>5</v>
      </c>
      <c r="E5" s="49" t="s">
        <v>6</v>
      </c>
      <c r="F5" s="49" t="s">
        <v>7</v>
      </c>
      <c r="G5" s="47" t="s">
        <v>8</v>
      </c>
      <c r="H5" s="48" t="s">
        <v>9</v>
      </c>
      <c r="I5" s="49" t="s">
        <v>10</v>
      </c>
      <c r="J5" s="47" t="s">
        <v>11</v>
      </c>
      <c r="K5" s="47" t="s">
        <v>12</v>
      </c>
      <c r="L5" s="367" t="s">
        <v>13</v>
      </c>
      <c r="M5" s="50" t="s">
        <v>9</v>
      </c>
      <c r="N5" s="47" t="s">
        <v>14</v>
      </c>
      <c r="O5" s="51" t="s">
        <v>13</v>
      </c>
    </row>
    <row r="6" spans="1:15" ht="23.25" customHeight="1" thickBot="1" x14ac:dyDescent="0.3">
      <c r="A6" s="52"/>
      <c r="B6" s="53"/>
      <c r="C6" s="54" t="s">
        <v>15</v>
      </c>
      <c r="D6" s="55"/>
      <c r="E6" s="56"/>
      <c r="F6" s="56"/>
      <c r="G6" s="54" t="s">
        <v>7</v>
      </c>
      <c r="H6" s="55" t="s">
        <v>4</v>
      </c>
      <c r="I6" s="57" t="s">
        <v>16</v>
      </c>
      <c r="J6" s="54" t="s">
        <v>17</v>
      </c>
      <c r="K6" s="54" t="s">
        <v>18</v>
      </c>
      <c r="L6" s="368"/>
      <c r="M6" s="58" t="s">
        <v>18</v>
      </c>
      <c r="N6" s="54" t="s">
        <v>19</v>
      </c>
      <c r="O6" s="59"/>
    </row>
    <row r="7" spans="1:15" ht="15" x14ac:dyDescent="0.25">
      <c r="A7" s="7"/>
      <c r="B7" s="8"/>
      <c r="C7" s="9"/>
      <c r="D7" s="9"/>
      <c r="E7" s="10"/>
      <c r="F7" s="10"/>
      <c r="G7" s="9"/>
      <c r="H7" s="9"/>
      <c r="I7" s="11"/>
      <c r="J7" s="9"/>
      <c r="K7" s="9"/>
      <c r="L7" s="9"/>
      <c r="M7" s="12"/>
      <c r="N7" s="13"/>
      <c r="O7" s="14"/>
    </row>
    <row r="8" spans="1:15" s="74" customFormat="1" ht="27.75" customHeight="1" x14ac:dyDescent="0.2">
      <c r="A8" s="63" t="s">
        <v>20</v>
      </c>
      <c r="B8" s="73" t="s">
        <v>21</v>
      </c>
      <c r="C8" s="65">
        <f t="shared" ref="C8:H8" si="0">SUM(C9:C17)</f>
        <v>657894826.91321981</v>
      </c>
      <c r="D8" s="65">
        <f t="shared" si="0"/>
        <v>0</v>
      </c>
      <c r="E8" s="65">
        <f t="shared" si="0"/>
        <v>27610765</v>
      </c>
      <c r="F8" s="65">
        <f t="shared" si="0"/>
        <v>0</v>
      </c>
      <c r="G8" s="65">
        <f t="shared" si="0"/>
        <v>28650007</v>
      </c>
      <c r="H8" s="65">
        <f t="shared" si="0"/>
        <v>656855584.91321981</v>
      </c>
      <c r="I8" s="65">
        <f>I9+I10+I11+I12+I13+I14+I15+I16+I17</f>
        <v>0</v>
      </c>
      <c r="J8" s="65">
        <f>SUM(J9:J17)</f>
        <v>39180966</v>
      </c>
      <c r="K8" s="65">
        <f>K9+K10+K11+K12+K13+K14+K15+K16+K17</f>
        <v>39180966</v>
      </c>
      <c r="L8" s="66">
        <f t="shared" ref="L8:L64" si="1">K8/H8</f>
        <v>5.9649285017765931E-2</v>
      </c>
      <c r="M8" s="67">
        <f>I8+J8</f>
        <v>39180966</v>
      </c>
      <c r="N8" s="65">
        <f>SUM(N9:N17)</f>
        <v>617674618.91321969</v>
      </c>
      <c r="O8" s="68">
        <f t="shared" ref="O8:O32" si="2">N8/H8</f>
        <v>0.94035071498223388</v>
      </c>
    </row>
    <row r="9" spans="1:15" ht="15" x14ac:dyDescent="0.25">
      <c r="A9" s="18" t="s">
        <v>22</v>
      </c>
      <c r="B9" s="19" t="s">
        <v>23</v>
      </c>
      <c r="C9" s="215">
        <f>ROUND(510496564.207404,1)</f>
        <v>510496564.19999999</v>
      </c>
      <c r="D9" s="346"/>
      <c r="E9" s="22">
        <v>27610765</v>
      </c>
      <c r="F9" s="34"/>
      <c r="G9" s="60">
        <v>28650007</v>
      </c>
      <c r="H9" s="20">
        <f>C9-D9+E9+F9-G9</f>
        <v>509457322.20000005</v>
      </c>
      <c r="I9" s="21">
        <v>0</v>
      </c>
      <c r="J9" s="41">
        <f>'LIBRO DE PRESUPUESTO'!J7</f>
        <v>33440088</v>
      </c>
      <c r="K9" s="20">
        <f>SUM(I9:J9)</f>
        <v>33440088</v>
      </c>
      <c r="L9" s="15">
        <f t="shared" si="1"/>
        <v>6.5638644382604958E-2</v>
      </c>
      <c r="M9" s="23">
        <f t="shared" ref="M9:M63" si="3">J9+I9</f>
        <v>33440088</v>
      </c>
      <c r="N9" s="24">
        <f t="shared" ref="N9:N17" si="4">H9-K9</f>
        <v>476017234.20000005</v>
      </c>
      <c r="O9" s="17">
        <f t="shared" si="2"/>
        <v>0.93436135561739508</v>
      </c>
    </row>
    <row r="10" spans="1:15" ht="15" x14ac:dyDescent="0.25">
      <c r="A10" s="18" t="s">
        <v>24</v>
      </c>
      <c r="B10" s="19" t="s">
        <v>25</v>
      </c>
      <c r="C10" s="215">
        <v>0</v>
      </c>
      <c r="D10" s="346"/>
      <c r="E10" s="22"/>
      <c r="F10" s="34"/>
      <c r="G10" s="61"/>
      <c r="H10" s="20">
        <f t="shared" ref="H10:H21" si="5">C10-D10+E10+F10-G10</f>
        <v>0</v>
      </c>
      <c r="I10" s="21">
        <f t="shared" ref="I10:I21" si="6">J10</f>
        <v>0</v>
      </c>
      <c r="J10" s="21">
        <v>0</v>
      </c>
      <c r="K10" s="20">
        <f t="shared" ref="K10:K21" si="7">SUM(I10:J10)</f>
        <v>0</v>
      </c>
      <c r="L10" s="15">
        <v>0</v>
      </c>
      <c r="M10" s="23">
        <f t="shared" si="3"/>
        <v>0</v>
      </c>
      <c r="N10" s="24">
        <f t="shared" si="4"/>
        <v>0</v>
      </c>
      <c r="O10" s="17">
        <v>0</v>
      </c>
    </row>
    <row r="11" spans="1:15" ht="15" x14ac:dyDescent="0.25">
      <c r="A11" s="18" t="s">
        <v>26</v>
      </c>
      <c r="B11" s="19" t="s">
        <v>27</v>
      </c>
      <c r="C11" s="215">
        <v>1077494.3999999999</v>
      </c>
      <c r="D11" s="346"/>
      <c r="E11" s="22"/>
      <c r="F11" s="34"/>
      <c r="G11" s="61"/>
      <c r="H11" s="20">
        <f t="shared" si="5"/>
        <v>1077494.3999999999</v>
      </c>
      <c r="I11" s="21">
        <v>0</v>
      </c>
      <c r="J11" s="21">
        <f>'LIBRO DE PRESUPUESTO'!J22</f>
        <v>83140</v>
      </c>
      <c r="K11" s="20">
        <f t="shared" si="7"/>
        <v>83140</v>
      </c>
      <c r="L11" s="15">
        <f t="shared" si="1"/>
        <v>7.7160493827160503E-2</v>
      </c>
      <c r="M11" s="23">
        <f t="shared" si="3"/>
        <v>83140</v>
      </c>
      <c r="N11" s="24">
        <f t="shared" si="4"/>
        <v>994354.39999999991</v>
      </c>
      <c r="O11" s="17">
        <f t="shared" si="2"/>
        <v>0.9228395061728395</v>
      </c>
    </row>
    <row r="12" spans="1:15" ht="15.75" customHeight="1" x14ac:dyDescent="0.25">
      <c r="A12" s="18" t="s">
        <v>28</v>
      </c>
      <c r="B12" s="19" t="s">
        <v>29</v>
      </c>
      <c r="C12" s="215">
        <v>1484049.6</v>
      </c>
      <c r="D12" s="346"/>
      <c r="E12" s="22"/>
      <c r="F12" s="34"/>
      <c r="G12" s="61"/>
      <c r="H12" s="20">
        <f t="shared" si="5"/>
        <v>1484049.6</v>
      </c>
      <c r="I12" s="21">
        <v>0</v>
      </c>
      <c r="J12" s="21">
        <f>'LIBRO DE PRESUPUESTO'!J37</f>
        <v>114510</v>
      </c>
      <c r="K12" s="20">
        <f t="shared" si="7"/>
        <v>114510</v>
      </c>
      <c r="L12" s="15">
        <f t="shared" si="1"/>
        <v>7.716049382716049E-2</v>
      </c>
      <c r="M12" s="23">
        <f t="shared" si="3"/>
        <v>114510</v>
      </c>
      <c r="N12" s="24">
        <f t="shared" si="4"/>
        <v>1369539.6</v>
      </c>
      <c r="O12" s="17">
        <f t="shared" si="2"/>
        <v>0.9228395061728395</v>
      </c>
    </row>
    <row r="13" spans="1:15" ht="15" x14ac:dyDescent="0.25">
      <c r="A13" s="18" t="s">
        <v>30</v>
      </c>
      <c r="B13" s="19" t="s">
        <v>31</v>
      </c>
      <c r="C13" s="215">
        <v>15036740.388045937</v>
      </c>
      <c r="D13" s="346"/>
      <c r="E13" s="22"/>
      <c r="F13" s="34"/>
      <c r="G13" s="61"/>
      <c r="H13" s="20">
        <f t="shared" si="5"/>
        <v>15036740.388045937</v>
      </c>
      <c r="I13" s="21">
        <f t="shared" si="6"/>
        <v>0</v>
      </c>
      <c r="J13" s="41"/>
      <c r="K13" s="20">
        <f t="shared" si="7"/>
        <v>0</v>
      </c>
      <c r="L13" s="15">
        <f t="shared" si="1"/>
        <v>0</v>
      </c>
      <c r="M13" s="23">
        <f t="shared" si="3"/>
        <v>0</v>
      </c>
      <c r="N13" s="24">
        <f t="shared" si="4"/>
        <v>15036740.388045937</v>
      </c>
      <c r="O13" s="17">
        <f t="shared" si="2"/>
        <v>1</v>
      </c>
    </row>
    <row r="14" spans="1:15" ht="15" x14ac:dyDescent="0.25">
      <c r="A14" s="18" t="s">
        <v>32</v>
      </c>
      <c r="B14" s="19" t="s">
        <v>33</v>
      </c>
      <c r="C14" s="215">
        <v>22003952.024810392</v>
      </c>
      <c r="D14" s="346"/>
      <c r="E14" s="22"/>
      <c r="F14" s="34"/>
      <c r="G14" s="61"/>
      <c r="H14" s="20">
        <f t="shared" si="5"/>
        <v>22003952.024810392</v>
      </c>
      <c r="I14" s="21">
        <f t="shared" si="6"/>
        <v>0</v>
      </c>
      <c r="J14" s="42"/>
      <c r="K14" s="20">
        <f t="shared" si="7"/>
        <v>0</v>
      </c>
      <c r="L14" s="15">
        <f t="shared" si="1"/>
        <v>0</v>
      </c>
      <c r="M14" s="23">
        <f t="shared" si="3"/>
        <v>0</v>
      </c>
      <c r="N14" s="24">
        <f t="shared" si="4"/>
        <v>22003952.024810392</v>
      </c>
      <c r="O14" s="17">
        <f t="shared" si="2"/>
        <v>1</v>
      </c>
    </row>
    <row r="15" spans="1:15" ht="15" x14ac:dyDescent="0.25">
      <c r="A15" s="18" t="s">
        <v>34</v>
      </c>
      <c r="B15" s="19" t="s">
        <v>35</v>
      </c>
      <c r="C15" s="215">
        <v>22920783.359177493</v>
      </c>
      <c r="D15" s="346"/>
      <c r="E15" s="22"/>
      <c r="F15" s="34"/>
      <c r="G15" s="61"/>
      <c r="H15" s="20">
        <f t="shared" si="5"/>
        <v>22920783.359177493</v>
      </c>
      <c r="I15" s="21">
        <v>0</v>
      </c>
      <c r="J15" s="41">
        <f>'LIBRO DE PRESUPUESTO'!J72</f>
        <v>5543228</v>
      </c>
      <c r="K15" s="20">
        <f t="shared" si="7"/>
        <v>5543228</v>
      </c>
      <c r="L15" s="15">
        <f t="shared" si="1"/>
        <v>0.24184286868103436</v>
      </c>
      <c r="M15" s="23">
        <f t="shared" si="3"/>
        <v>5543228</v>
      </c>
      <c r="N15" s="24">
        <f t="shared" si="4"/>
        <v>17377555.359177493</v>
      </c>
      <c r="O15" s="17">
        <f t="shared" si="2"/>
        <v>0.75815713131896567</v>
      </c>
    </row>
    <row r="16" spans="1:15" ht="15" x14ac:dyDescent="0.25">
      <c r="A16" s="26">
        <v>2020110109</v>
      </c>
      <c r="B16" s="19" t="s">
        <v>36</v>
      </c>
      <c r="C16" s="215">
        <v>37123610.942899451</v>
      </c>
      <c r="D16" s="346"/>
      <c r="E16" s="22"/>
      <c r="F16" s="34"/>
      <c r="G16" s="61"/>
      <c r="H16" s="20">
        <f t="shared" si="5"/>
        <v>37123610.942899451</v>
      </c>
      <c r="I16" s="21">
        <f t="shared" si="6"/>
        <v>0</v>
      </c>
      <c r="J16" s="41"/>
      <c r="K16" s="20">
        <f>SUM(I16:J16)</f>
        <v>0</v>
      </c>
      <c r="L16" s="15">
        <f t="shared" si="1"/>
        <v>0</v>
      </c>
      <c r="M16" s="23">
        <f t="shared" si="3"/>
        <v>0</v>
      </c>
      <c r="N16" s="24">
        <f t="shared" si="4"/>
        <v>37123610.942899451</v>
      </c>
      <c r="O16" s="17">
        <f t="shared" si="2"/>
        <v>1</v>
      </c>
    </row>
    <row r="17" spans="1:15" ht="15" x14ac:dyDescent="0.25">
      <c r="A17" s="26">
        <v>2020110108</v>
      </c>
      <c r="B17" s="19" t="s">
        <v>37</v>
      </c>
      <c r="C17" s="215">
        <v>47751631.998286448</v>
      </c>
      <c r="D17" s="346"/>
      <c r="E17" s="22"/>
      <c r="F17" s="34"/>
      <c r="G17" s="61"/>
      <c r="H17" s="20">
        <f t="shared" si="5"/>
        <v>47751631.998286448</v>
      </c>
      <c r="I17" s="21">
        <f t="shared" si="6"/>
        <v>0</v>
      </c>
      <c r="J17" s="41"/>
      <c r="K17" s="20">
        <f t="shared" si="7"/>
        <v>0</v>
      </c>
      <c r="L17" s="15">
        <f t="shared" si="1"/>
        <v>0</v>
      </c>
      <c r="M17" s="23">
        <f t="shared" si="3"/>
        <v>0</v>
      </c>
      <c r="N17" s="24">
        <f t="shared" si="4"/>
        <v>47751631.998286448</v>
      </c>
      <c r="O17" s="17">
        <f t="shared" si="2"/>
        <v>1</v>
      </c>
    </row>
    <row r="18" spans="1:15" s="69" customFormat="1" ht="27.75" customHeight="1" x14ac:dyDescent="0.2">
      <c r="A18" s="63" t="s">
        <v>38</v>
      </c>
      <c r="B18" s="73" t="s">
        <v>39</v>
      </c>
      <c r="C18" s="65">
        <f t="shared" ref="C18:I18" si="8">SUM(C19:C21)</f>
        <v>12849993</v>
      </c>
      <c r="D18" s="65">
        <f t="shared" si="8"/>
        <v>0</v>
      </c>
      <c r="E18" s="65">
        <f t="shared" si="8"/>
        <v>0</v>
      </c>
      <c r="F18" s="65">
        <f t="shared" si="8"/>
        <v>27650007</v>
      </c>
      <c r="G18" s="65">
        <f t="shared" si="8"/>
        <v>0</v>
      </c>
      <c r="H18" s="65">
        <f t="shared" si="8"/>
        <v>40500000</v>
      </c>
      <c r="I18" s="65">
        <f t="shared" si="8"/>
        <v>0</v>
      </c>
      <c r="J18" s="65">
        <f>SUM(J19:J21)</f>
        <v>34832100</v>
      </c>
      <c r="K18" s="65">
        <f>K19+K20+K21</f>
        <v>34832100</v>
      </c>
      <c r="L18" s="66">
        <f t="shared" si="1"/>
        <v>0.86005185185185185</v>
      </c>
      <c r="M18" s="72">
        <f t="shared" si="3"/>
        <v>34832100</v>
      </c>
      <c r="N18" s="72">
        <f>SUM(N19:N21)</f>
        <v>5667900</v>
      </c>
      <c r="O18" s="68">
        <f t="shared" si="2"/>
        <v>0.13994814814814815</v>
      </c>
    </row>
    <row r="19" spans="1:15" ht="15" x14ac:dyDescent="0.25">
      <c r="A19" s="18" t="s">
        <v>40</v>
      </c>
      <c r="B19" s="28" t="s">
        <v>41</v>
      </c>
      <c r="C19" s="193">
        <f>2300000+10549993</f>
        <v>12849993</v>
      </c>
      <c r="D19" s="21"/>
      <c r="E19" s="22"/>
      <c r="F19" s="34">
        <v>27650007</v>
      </c>
      <c r="G19" s="61"/>
      <c r="H19" s="20">
        <f t="shared" si="5"/>
        <v>40500000</v>
      </c>
      <c r="I19" s="21">
        <v>0</v>
      </c>
      <c r="J19" s="21">
        <f>SUM('LIBRO DE PRESUPUESTO'!J112:J115)</f>
        <v>34832100</v>
      </c>
      <c r="K19" s="20">
        <f t="shared" si="7"/>
        <v>34832100</v>
      </c>
      <c r="L19" s="15">
        <f t="shared" si="1"/>
        <v>0.86005185185185185</v>
      </c>
      <c r="M19" s="23">
        <f t="shared" si="3"/>
        <v>34832100</v>
      </c>
      <c r="N19" s="24">
        <f>H19-K19</f>
        <v>5667900</v>
      </c>
      <c r="O19" s="17">
        <f>N19/H19</f>
        <v>0.13994814814814815</v>
      </c>
    </row>
    <row r="20" spans="1:15" ht="15" x14ac:dyDescent="0.25">
      <c r="A20" s="18" t="s">
        <v>42</v>
      </c>
      <c r="B20" s="19" t="s">
        <v>43</v>
      </c>
      <c r="C20" s="30"/>
      <c r="D20" s="21"/>
      <c r="E20" s="22"/>
      <c r="F20" s="34"/>
      <c r="G20" s="61"/>
      <c r="H20" s="20">
        <f t="shared" si="5"/>
        <v>0</v>
      </c>
      <c r="I20" s="21">
        <f t="shared" si="6"/>
        <v>0</v>
      </c>
      <c r="J20" s="21">
        <v>0</v>
      </c>
      <c r="K20" s="20">
        <f t="shared" si="7"/>
        <v>0</v>
      </c>
      <c r="L20" s="15">
        <v>0</v>
      </c>
      <c r="M20" s="23">
        <f t="shared" si="3"/>
        <v>0</v>
      </c>
      <c r="N20" s="24">
        <f>H20-K20</f>
        <v>0</v>
      </c>
      <c r="O20" s="17">
        <v>0</v>
      </c>
    </row>
    <row r="21" spans="1:15" ht="15" x14ac:dyDescent="0.25">
      <c r="A21" s="18" t="s">
        <v>44</v>
      </c>
      <c r="B21" s="31" t="s">
        <v>45</v>
      </c>
      <c r="C21" s="29"/>
      <c r="D21" s="21"/>
      <c r="E21" s="22"/>
      <c r="F21" s="34"/>
      <c r="G21" s="61"/>
      <c r="H21" s="20">
        <f t="shared" si="5"/>
        <v>0</v>
      </c>
      <c r="I21" s="21">
        <f t="shared" si="6"/>
        <v>0</v>
      </c>
      <c r="J21" s="25">
        <v>0</v>
      </c>
      <c r="K21" s="20">
        <f t="shared" si="7"/>
        <v>0</v>
      </c>
      <c r="L21" s="15">
        <v>0</v>
      </c>
      <c r="M21" s="23">
        <f t="shared" si="3"/>
        <v>0</v>
      </c>
      <c r="N21" s="24">
        <f>H21-K21</f>
        <v>0</v>
      </c>
      <c r="O21" s="17">
        <v>0</v>
      </c>
    </row>
    <row r="22" spans="1:15" s="69" customFormat="1" ht="27.75" customHeight="1" x14ac:dyDescent="0.2">
      <c r="A22" s="63" t="s">
        <v>46</v>
      </c>
      <c r="B22" s="64" t="s">
        <v>47</v>
      </c>
      <c r="C22" s="65">
        <f t="shared" ref="C22:J22" si="9">SUM(C23:C26)</f>
        <v>16200000</v>
      </c>
      <c r="D22" s="65">
        <f t="shared" si="9"/>
        <v>0</v>
      </c>
      <c r="E22" s="65">
        <f t="shared" si="9"/>
        <v>20000000</v>
      </c>
      <c r="F22" s="65">
        <f t="shared" si="9"/>
        <v>0</v>
      </c>
      <c r="G22" s="65">
        <f t="shared" si="9"/>
        <v>0</v>
      </c>
      <c r="H22" s="65">
        <f t="shared" si="9"/>
        <v>36200000</v>
      </c>
      <c r="I22" s="65">
        <f t="shared" si="9"/>
        <v>0</v>
      </c>
      <c r="J22" s="65">
        <f t="shared" si="9"/>
        <v>1599800</v>
      </c>
      <c r="K22" s="65">
        <f>K23+K24+K25+K26</f>
        <v>1599800</v>
      </c>
      <c r="L22" s="66">
        <f t="shared" si="1"/>
        <v>4.4193370165745857E-2</v>
      </c>
      <c r="M22" s="72">
        <f t="shared" si="3"/>
        <v>1599800</v>
      </c>
      <c r="N22" s="65">
        <f>SUM(N23:N26)</f>
        <v>34600200</v>
      </c>
      <c r="O22" s="68">
        <f t="shared" si="2"/>
        <v>0.95580662983425413</v>
      </c>
    </row>
    <row r="23" spans="1:15" ht="15" x14ac:dyDescent="0.25">
      <c r="A23" s="18" t="s">
        <v>48</v>
      </c>
      <c r="B23" s="31" t="s">
        <v>49</v>
      </c>
      <c r="C23" s="193">
        <v>3000000</v>
      </c>
      <c r="D23" s="21"/>
      <c r="E23" s="22"/>
      <c r="F23" s="34"/>
      <c r="G23" s="61"/>
      <c r="H23" s="20">
        <f t="shared" ref="H23:H26" si="10">C23-D23+E23+F23-G23</f>
        <v>3000000</v>
      </c>
      <c r="I23" s="21">
        <f>J23</f>
        <v>0</v>
      </c>
      <c r="J23" s="25">
        <v>0</v>
      </c>
      <c r="K23" s="20">
        <f t="shared" ref="K23:K60" si="11">SUM(I23:J23)</f>
        <v>0</v>
      </c>
      <c r="L23" s="15">
        <v>0</v>
      </c>
      <c r="M23" s="16">
        <f t="shared" si="3"/>
        <v>0</v>
      </c>
      <c r="N23" s="24">
        <f t="shared" ref="N23:N26" si="12">H23-K23</f>
        <v>3000000</v>
      </c>
      <c r="O23" s="17">
        <v>0</v>
      </c>
    </row>
    <row r="24" spans="1:15" ht="15" x14ac:dyDescent="0.25">
      <c r="A24" s="18" t="s">
        <v>50</v>
      </c>
      <c r="B24" s="32" t="s">
        <v>51</v>
      </c>
      <c r="C24" s="193">
        <v>12000000</v>
      </c>
      <c r="D24" s="21"/>
      <c r="E24" s="22">
        <v>20000000</v>
      </c>
      <c r="F24" s="34"/>
      <c r="G24" s="61"/>
      <c r="H24" s="20">
        <f t="shared" si="10"/>
        <v>32000000</v>
      </c>
      <c r="I24" s="21">
        <v>0</v>
      </c>
      <c r="J24" s="21">
        <f>'LIBRO DE PRESUPUESTO'!J141+'LIBRO DE PRESUPUESTO'!J143</f>
        <v>1599800</v>
      </c>
      <c r="K24" s="20">
        <f t="shared" si="11"/>
        <v>1599800</v>
      </c>
      <c r="L24" s="15">
        <f t="shared" si="1"/>
        <v>4.9993750000000003E-2</v>
      </c>
      <c r="M24" s="23">
        <f t="shared" si="3"/>
        <v>1599800</v>
      </c>
      <c r="N24" s="24">
        <f t="shared" si="12"/>
        <v>30400200</v>
      </c>
      <c r="O24" s="33">
        <f t="shared" si="2"/>
        <v>0.95000625000000005</v>
      </c>
    </row>
    <row r="25" spans="1:15" ht="15" x14ac:dyDescent="0.25">
      <c r="A25" s="18" t="s">
        <v>52</v>
      </c>
      <c r="B25" s="31" t="s">
        <v>53</v>
      </c>
      <c r="C25" s="193">
        <v>1200000</v>
      </c>
      <c r="D25" s="21"/>
      <c r="E25" s="22"/>
      <c r="F25" s="34"/>
      <c r="G25" s="62"/>
      <c r="H25" s="20">
        <f t="shared" si="10"/>
        <v>1200000</v>
      </c>
      <c r="I25" s="21">
        <f t="shared" ref="I25:I26" si="13">J25</f>
        <v>0</v>
      </c>
      <c r="J25" s="21">
        <v>0</v>
      </c>
      <c r="K25" s="20">
        <f t="shared" si="11"/>
        <v>0</v>
      </c>
      <c r="L25" s="15">
        <f t="shared" si="1"/>
        <v>0</v>
      </c>
      <c r="M25" s="16">
        <f t="shared" si="3"/>
        <v>0</v>
      </c>
      <c r="N25" s="24">
        <f t="shared" si="12"/>
        <v>1200000</v>
      </c>
      <c r="O25" s="33">
        <f>N25/H25</f>
        <v>1</v>
      </c>
    </row>
    <row r="26" spans="1:15" ht="15" x14ac:dyDescent="0.25">
      <c r="A26" s="18" t="s">
        <v>54</v>
      </c>
      <c r="B26" s="31" t="s">
        <v>55</v>
      </c>
      <c r="C26" s="193">
        <v>0</v>
      </c>
      <c r="D26" s="21"/>
      <c r="E26" s="22"/>
      <c r="F26" s="34"/>
      <c r="G26" s="61"/>
      <c r="H26" s="20">
        <f t="shared" si="10"/>
        <v>0</v>
      </c>
      <c r="I26" s="21">
        <f t="shared" si="13"/>
        <v>0</v>
      </c>
      <c r="J26" s="21"/>
      <c r="K26" s="20">
        <f t="shared" si="11"/>
        <v>0</v>
      </c>
      <c r="L26" s="15">
        <v>0</v>
      </c>
      <c r="M26" s="16">
        <f t="shared" si="3"/>
        <v>0</v>
      </c>
      <c r="N26" s="24">
        <f t="shared" si="12"/>
        <v>0</v>
      </c>
      <c r="O26" s="33">
        <v>0</v>
      </c>
    </row>
    <row r="27" spans="1:15" s="69" customFormat="1" ht="27.75" customHeight="1" x14ac:dyDescent="0.2">
      <c r="A27" s="63" t="s">
        <v>56</v>
      </c>
      <c r="B27" s="64" t="s">
        <v>57</v>
      </c>
      <c r="C27" s="65">
        <f t="shared" ref="C27:J27" si="14">SUM(C28:C42)</f>
        <v>75448328</v>
      </c>
      <c r="D27" s="65">
        <f t="shared" si="14"/>
        <v>0</v>
      </c>
      <c r="E27" s="65">
        <f t="shared" si="14"/>
        <v>57000000</v>
      </c>
      <c r="F27" s="65">
        <f t="shared" si="14"/>
        <v>0</v>
      </c>
      <c r="G27" s="65">
        <f t="shared" si="14"/>
        <v>0</v>
      </c>
      <c r="H27" s="65">
        <f t="shared" si="14"/>
        <v>132448328</v>
      </c>
      <c r="I27" s="65">
        <f t="shared" si="14"/>
        <v>0</v>
      </c>
      <c r="J27" s="65">
        <f t="shared" si="14"/>
        <v>3633632</v>
      </c>
      <c r="K27" s="65">
        <f>K28+K29+K30+K31+K32+K33+K34+K35+K36+K37+K38+K39+K40</f>
        <v>3633632</v>
      </c>
      <c r="L27" s="66">
        <f t="shared" si="1"/>
        <v>2.7434336505931581E-2</v>
      </c>
      <c r="M27" s="67">
        <f>I27+J27</f>
        <v>3633632</v>
      </c>
      <c r="N27" s="72">
        <f>SUM(N28:N42)</f>
        <v>128814696</v>
      </c>
      <c r="O27" s="68">
        <f t="shared" si="2"/>
        <v>0.97256566349406837</v>
      </c>
    </row>
    <row r="28" spans="1:15" ht="15" x14ac:dyDescent="0.25">
      <c r="A28" s="18" t="s">
        <v>58</v>
      </c>
      <c r="B28" s="31" t="s">
        <v>59</v>
      </c>
      <c r="C28" s="193">
        <v>180000</v>
      </c>
      <c r="D28" s="21"/>
      <c r="E28" s="22">
        <v>16000000</v>
      </c>
      <c r="F28" s="34"/>
      <c r="G28" s="61"/>
      <c r="H28" s="20">
        <f t="shared" ref="H28:H42" si="15">C28-D28+E28+F28-G28</f>
        <v>16180000</v>
      </c>
      <c r="I28" s="21">
        <v>0</v>
      </c>
      <c r="J28" s="21">
        <f>'LIBRO DE PRESUPUESTO'!J167</f>
        <v>1200000</v>
      </c>
      <c r="K28" s="20">
        <f t="shared" si="11"/>
        <v>1200000</v>
      </c>
      <c r="L28" s="15">
        <f t="shared" si="1"/>
        <v>7.4165636588380712E-2</v>
      </c>
      <c r="M28" s="23">
        <f t="shared" si="3"/>
        <v>1200000</v>
      </c>
      <c r="N28" s="24">
        <f t="shared" ref="N28:N39" si="16">H28-K28</f>
        <v>14980000</v>
      </c>
      <c r="O28" s="33">
        <f t="shared" si="2"/>
        <v>0.92583436341161929</v>
      </c>
    </row>
    <row r="29" spans="1:15" ht="15" x14ac:dyDescent="0.25">
      <c r="A29" s="18" t="s">
        <v>60</v>
      </c>
      <c r="B29" s="31" t="s">
        <v>61</v>
      </c>
      <c r="C29" s="193">
        <v>39298328</v>
      </c>
      <c r="D29" s="21"/>
      <c r="E29" s="22"/>
      <c r="F29" s="34"/>
      <c r="G29" s="61"/>
      <c r="H29" s="20">
        <f t="shared" si="15"/>
        <v>39298328</v>
      </c>
      <c r="I29" s="21">
        <v>0</v>
      </c>
      <c r="J29" s="21">
        <f>'LIBRO DE PRESUPUESTO'!J187+'LIBRO DE PRESUPUESTO'!J188</f>
        <v>874615</v>
      </c>
      <c r="K29" s="20">
        <f t="shared" si="11"/>
        <v>874615</v>
      </c>
      <c r="L29" s="15">
        <f t="shared" si="1"/>
        <v>2.2255781467343853E-2</v>
      </c>
      <c r="M29" s="23">
        <f>J29+I29</f>
        <v>874615</v>
      </c>
      <c r="N29" s="24">
        <f t="shared" si="16"/>
        <v>38423713</v>
      </c>
      <c r="O29" s="33">
        <f t="shared" si="2"/>
        <v>0.97774421853265614</v>
      </c>
    </row>
    <row r="30" spans="1:15" ht="15" x14ac:dyDescent="0.25">
      <c r="A30" s="18" t="s">
        <v>62</v>
      </c>
      <c r="B30" s="31" t="s">
        <v>63</v>
      </c>
      <c r="C30" s="193">
        <v>1200000</v>
      </c>
      <c r="D30" s="21"/>
      <c r="E30" s="22"/>
      <c r="F30" s="34"/>
      <c r="G30" s="61"/>
      <c r="H30" s="20">
        <f t="shared" si="15"/>
        <v>1200000</v>
      </c>
      <c r="I30" s="21">
        <v>0</v>
      </c>
      <c r="J30" s="41">
        <f>'LIBRO DE PRESUPUESTO'!J244</f>
        <v>200000</v>
      </c>
      <c r="K30" s="20">
        <f t="shared" si="11"/>
        <v>200000</v>
      </c>
      <c r="L30" s="15">
        <f t="shared" si="1"/>
        <v>0.16666666666666666</v>
      </c>
      <c r="M30" s="23">
        <f t="shared" si="3"/>
        <v>200000</v>
      </c>
      <c r="N30" s="24">
        <f t="shared" si="16"/>
        <v>1000000</v>
      </c>
      <c r="O30" s="33">
        <f t="shared" si="2"/>
        <v>0.83333333333333337</v>
      </c>
    </row>
    <row r="31" spans="1:15" ht="15" x14ac:dyDescent="0.25">
      <c r="A31" s="18" t="s">
        <v>64</v>
      </c>
      <c r="B31" s="31" t="s">
        <v>65</v>
      </c>
      <c r="C31" s="193">
        <f>900000*12</f>
        <v>10800000</v>
      </c>
      <c r="D31" s="21"/>
      <c r="E31" s="22"/>
      <c r="F31" s="34"/>
      <c r="G31" s="61"/>
      <c r="H31" s="20">
        <f t="shared" si="15"/>
        <v>10800000</v>
      </c>
      <c r="I31" s="21">
        <v>0</v>
      </c>
      <c r="J31" s="41">
        <f>'LIBRO DE PRESUPUESTO'!J264</f>
        <v>720300</v>
      </c>
      <c r="K31" s="20">
        <f t="shared" si="11"/>
        <v>720300</v>
      </c>
      <c r="L31" s="15">
        <f t="shared" si="1"/>
        <v>6.6694444444444445E-2</v>
      </c>
      <c r="M31" s="23">
        <f t="shared" si="3"/>
        <v>720300</v>
      </c>
      <c r="N31" s="24">
        <f t="shared" si="16"/>
        <v>10079700</v>
      </c>
      <c r="O31" s="17">
        <f t="shared" si="2"/>
        <v>0.93330555555555561</v>
      </c>
    </row>
    <row r="32" spans="1:15" ht="15" x14ac:dyDescent="0.25">
      <c r="A32" s="18" t="s">
        <v>66</v>
      </c>
      <c r="B32" s="31" t="s">
        <v>67</v>
      </c>
      <c r="C32" s="193">
        <f>550000*12</f>
        <v>6600000</v>
      </c>
      <c r="D32" s="21"/>
      <c r="E32" s="22"/>
      <c r="F32" s="34"/>
      <c r="G32" s="61"/>
      <c r="H32" s="20">
        <f t="shared" si="15"/>
        <v>6600000</v>
      </c>
      <c r="I32" s="21">
        <v>0</v>
      </c>
      <c r="J32" s="41">
        <f>SUM('LIBRO DE PRESUPUESTO'!J279:J281)</f>
        <v>535667</v>
      </c>
      <c r="K32" s="20">
        <f t="shared" si="11"/>
        <v>535667</v>
      </c>
      <c r="L32" s="15">
        <f t="shared" si="1"/>
        <v>8.116166666666666E-2</v>
      </c>
      <c r="M32" s="23">
        <f t="shared" si="3"/>
        <v>535667</v>
      </c>
      <c r="N32" s="24">
        <f t="shared" si="16"/>
        <v>6064333</v>
      </c>
      <c r="O32" s="17">
        <f t="shared" si="2"/>
        <v>0.91883833333333331</v>
      </c>
    </row>
    <row r="33" spans="1:17" ht="15" x14ac:dyDescent="0.25">
      <c r="A33" s="18" t="s">
        <v>68</v>
      </c>
      <c r="B33" s="31" t="s">
        <v>69</v>
      </c>
      <c r="C33" s="193">
        <f>160000*12</f>
        <v>1920000</v>
      </c>
      <c r="D33" s="21"/>
      <c r="E33" s="22"/>
      <c r="F33" s="34"/>
      <c r="G33" s="61"/>
      <c r="H33" s="20">
        <f t="shared" si="15"/>
        <v>1920000</v>
      </c>
      <c r="I33" s="21">
        <v>0</v>
      </c>
      <c r="J33" s="25">
        <f>'LIBRO DE PRESUPUESTO'!J305+'LIBRO DE PRESUPUESTO'!J306</f>
        <v>103050</v>
      </c>
      <c r="K33" s="20">
        <f t="shared" si="11"/>
        <v>103050</v>
      </c>
      <c r="L33" s="15">
        <f t="shared" si="1"/>
        <v>5.3671875000000001E-2</v>
      </c>
      <c r="M33" s="23">
        <f t="shared" si="3"/>
        <v>103050</v>
      </c>
      <c r="N33" s="24">
        <f t="shared" si="16"/>
        <v>1816950</v>
      </c>
      <c r="O33" s="17">
        <v>0</v>
      </c>
    </row>
    <row r="34" spans="1:17" ht="15" x14ac:dyDescent="0.25">
      <c r="A34" s="18" t="s">
        <v>70</v>
      </c>
      <c r="B34" s="32" t="s">
        <v>71</v>
      </c>
      <c r="C34" s="193">
        <v>1500000</v>
      </c>
      <c r="D34" s="21"/>
      <c r="E34" s="22"/>
      <c r="F34" s="34"/>
      <c r="G34" s="61"/>
      <c r="H34" s="20">
        <f t="shared" si="15"/>
        <v>1500000</v>
      </c>
      <c r="I34" s="21">
        <v>0</v>
      </c>
      <c r="J34" s="21">
        <v>0</v>
      </c>
      <c r="K34" s="20">
        <f t="shared" si="11"/>
        <v>0</v>
      </c>
      <c r="L34" s="15">
        <f t="shared" si="1"/>
        <v>0</v>
      </c>
      <c r="M34" s="23">
        <f t="shared" si="3"/>
        <v>0</v>
      </c>
      <c r="N34" s="24">
        <f t="shared" si="16"/>
        <v>1500000</v>
      </c>
      <c r="O34" s="17">
        <f t="shared" ref="O34:O64" si="17">N34/H34</f>
        <v>1</v>
      </c>
    </row>
    <row r="35" spans="1:17" ht="15" x14ac:dyDescent="0.25">
      <c r="A35" s="18" t="s">
        <v>72</v>
      </c>
      <c r="B35" s="31" t="s">
        <v>73</v>
      </c>
      <c r="C35" s="193">
        <v>0</v>
      </c>
      <c r="D35" s="21"/>
      <c r="E35" s="22"/>
      <c r="F35" s="36"/>
      <c r="G35" s="61"/>
      <c r="H35" s="20">
        <f t="shared" si="15"/>
        <v>0</v>
      </c>
      <c r="I35" s="21">
        <v>0</v>
      </c>
      <c r="J35" s="21">
        <v>0</v>
      </c>
      <c r="K35" s="20">
        <f t="shared" si="11"/>
        <v>0</v>
      </c>
      <c r="L35" s="15">
        <v>0</v>
      </c>
      <c r="M35" s="23">
        <f t="shared" si="3"/>
        <v>0</v>
      </c>
      <c r="N35" s="24">
        <f t="shared" si="16"/>
        <v>0</v>
      </c>
      <c r="O35" s="17">
        <v>0</v>
      </c>
    </row>
    <row r="36" spans="1:17" ht="15" x14ac:dyDescent="0.25">
      <c r="A36" s="18" t="s">
        <v>74</v>
      </c>
      <c r="B36" s="31" t="s">
        <v>75</v>
      </c>
      <c r="C36" s="193">
        <v>8000000</v>
      </c>
      <c r="D36" s="21"/>
      <c r="E36" s="22"/>
      <c r="F36" s="34"/>
      <c r="G36" s="61"/>
      <c r="H36" s="20">
        <f t="shared" si="15"/>
        <v>8000000</v>
      </c>
      <c r="I36" s="21">
        <v>0</v>
      </c>
      <c r="J36" s="43">
        <v>0</v>
      </c>
      <c r="K36" s="20">
        <f t="shared" si="11"/>
        <v>0</v>
      </c>
      <c r="L36" s="15">
        <f t="shared" si="1"/>
        <v>0</v>
      </c>
      <c r="M36" s="23">
        <f t="shared" si="3"/>
        <v>0</v>
      </c>
      <c r="N36" s="24">
        <f t="shared" si="16"/>
        <v>8000000</v>
      </c>
      <c r="O36" s="17">
        <f t="shared" si="17"/>
        <v>1</v>
      </c>
    </row>
    <row r="37" spans="1:17" ht="15" x14ac:dyDescent="0.25">
      <c r="A37" s="18" t="s">
        <v>76</v>
      </c>
      <c r="B37" s="32" t="s">
        <v>77</v>
      </c>
      <c r="C37" s="193">
        <v>5000000</v>
      </c>
      <c r="D37" s="21"/>
      <c r="E37" s="22">
        <v>20000000</v>
      </c>
      <c r="F37" s="34"/>
      <c r="G37" s="61"/>
      <c r="H37" s="20">
        <f t="shared" si="15"/>
        <v>25000000</v>
      </c>
      <c r="I37" s="21">
        <v>0</v>
      </c>
      <c r="J37" s="43">
        <v>0</v>
      </c>
      <c r="K37" s="20">
        <f t="shared" si="11"/>
        <v>0</v>
      </c>
      <c r="L37" s="15">
        <f t="shared" si="1"/>
        <v>0</v>
      </c>
      <c r="M37" s="23">
        <f t="shared" si="3"/>
        <v>0</v>
      </c>
      <c r="N37" s="24">
        <f t="shared" si="16"/>
        <v>25000000</v>
      </c>
      <c r="O37" s="17">
        <f t="shared" si="17"/>
        <v>1</v>
      </c>
    </row>
    <row r="38" spans="1:17" ht="15" x14ac:dyDescent="0.25">
      <c r="A38" s="18" t="s">
        <v>78</v>
      </c>
      <c r="B38" s="31" t="s">
        <v>79</v>
      </c>
      <c r="C38" s="193">
        <v>0</v>
      </c>
      <c r="D38" s="21"/>
      <c r="E38" s="22">
        <v>3000000</v>
      </c>
      <c r="F38" s="34"/>
      <c r="G38" s="61"/>
      <c r="H38" s="20">
        <f t="shared" si="15"/>
        <v>3000000</v>
      </c>
      <c r="I38" s="21">
        <v>0</v>
      </c>
      <c r="J38" s="43">
        <v>0</v>
      </c>
      <c r="K38" s="20">
        <f t="shared" si="11"/>
        <v>0</v>
      </c>
      <c r="L38" s="15">
        <f t="shared" si="1"/>
        <v>0</v>
      </c>
      <c r="M38" s="23">
        <f t="shared" si="3"/>
        <v>0</v>
      </c>
      <c r="N38" s="24">
        <f t="shared" si="16"/>
        <v>3000000</v>
      </c>
      <c r="O38" s="17">
        <f t="shared" si="17"/>
        <v>1</v>
      </c>
    </row>
    <row r="39" spans="1:17" ht="15" x14ac:dyDescent="0.25">
      <c r="A39" s="18" t="s">
        <v>80</v>
      </c>
      <c r="B39" s="31" t="s">
        <v>81</v>
      </c>
      <c r="C39" s="193">
        <v>0</v>
      </c>
      <c r="D39" s="21"/>
      <c r="E39" s="22">
        <v>15000000</v>
      </c>
      <c r="F39" s="34"/>
      <c r="G39" s="61"/>
      <c r="H39" s="20">
        <f t="shared" si="15"/>
        <v>15000000</v>
      </c>
      <c r="I39" s="21">
        <v>0</v>
      </c>
      <c r="J39" s="21">
        <v>0</v>
      </c>
      <c r="K39" s="20">
        <f t="shared" si="11"/>
        <v>0</v>
      </c>
      <c r="L39" s="15">
        <f t="shared" si="1"/>
        <v>0</v>
      </c>
      <c r="M39" s="23">
        <f t="shared" si="3"/>
        <v>0</v>
      </c>
      <c r="N39" s="24">
        <f t="shared" si="16"/>
        <v>15000000</v>
      </c>
      <c r="O39" s="17">
        <f t="shared" si="17"/>
        <v>1</v>
      </c>
    </row>
    <row r="40" spans="1:17" ht="15" x14ac:dyDescent="0.25">
      <c r="A40" s="18" t="s">
        <v>82</v>
      </c>
      <c r="B40" s="31" t="s">
        <v>83</v>
      </c>
      <c r="C40" s="193">
        <v>0</v>
      </c>
      <c r="D40" s="21"/>
      <c r="E40" s="22">
        <v>3000000</v>
      </c>
      <c r="F40" s="34"/>
      <c r="G40" s="61"/>
      <c r="H40" s="20">
        <f t="shared" si="15"/>
        <v>3000000</v>
      </c>
      <c r="I40" s="21">
        <v>0</v>
      </c>
      <c r="J40" s="21">
        <v>0</v>
      </c>
      <c r="K40" s="20">
        <f t="shared" si="11"/>
        <v>0</v>
      </c>
      <c r="L40" s="15">
        <f>K40/H40</f>
        <v>0</v>
      </c>
      <c r="M40" s="23">
        <f t="shared" si="3"/>
        <v>0</v>
      </c>
      <c r="N40" s="24">
        <f>H40-K40</f>
        <v>3000000</v>
      </c>
      <c r="O40" s="17">
        <f t="shared" si="17"/>
        <v>1</v>
      </c>
    </row>
    <row r="41" spans="1:17" ht="15" x14ac:dyDescent="0.25">
      <c r="A41" s="18" t="s">
        <v>84</v>
      </c>
      <c r="B41" s="31" t="s">
        <v>85</v>
      </c>
      <c r="C41" s="193">
        <v>0</v>
      </c>
      <c r="D41" s="21"/>
      <c r="E41" s="22"/>
      <c r="F41" s="34"/>
      <c r="G41" s="61"/>
      <c r="H41" s="20">
        <f t="shared" si="15"/>
        <v>0</v>
      </c>
      <c r="I41" s="21">
        <v>0</v>
      </c>
      <c r="J41" s="21">
        <v>0</v>
      </c>
      <c r="K41" s="20">
        <f t="shared" si="11"/>
        <v>0</v>
      </c>
      <c r="L41" s="15">
        <v>0</v>
      </c>
      <c r="M41" s="23">
        <f t="shared" si="3"/>
        <v>0</v>
      </c>
      <c r="N41" s="24">
        <f>H41-K41</f>
        <v>0</v>
      </c>
      <c r="O41" s="17">
        <v>0</v>
      </c>
    </row>
    <row r="42" spans="1:17" ht="15" x14ac:dyDescent="0.25">
      <c r="A42" s="96">
        <v>2020120215</v>
      </c>
      <c r="B42" s="31" t="s">
        <v>118</v>
      </c>
      <c r="C42" s="193">
        <v>950000</v>
      </c>
      <c r="D42" s="21"/>
      <c r="E42" s="22"/>
      <c r="F42" s="34"/>
      <c r="G42" s="61"/>
      <c r="H42" s="20">
        <f t="shared" si="15"/>
        <v>950000</v>
      </c>
      <c r="I42" s="21">
        <f t="shared" ref="I42:I60" si="18">J42</f>
        <v>0</v>
      </c>
      <c r="J42" s="21">
        <v>0</v>
      </c>
      <c r="K42" s="20">
        <f t="shared" si="11"/>
        <v>0</v>
      </c>
      <c r="L42" s="15">
        <v>0</v>
      </c>
      <c r="M42" s="23">
        <f t="shared" si="3"/>
        <v>0</v>
      </c>
      <c r="N42" s="24">
        <f>H42-K42</f>
        <v>950000</v>
      </c>
      <c r="O42" s="17">
        <f t="shared" si="17"/>
        <v>1</v>
      </c>
    </row>
    <row r="43" spans="1:17" ht="15.75" x14ac:dyDescent="0.2">
      <c r="A43" s="63">
        <v>20201203</v>
      </c>
      <c r="B43" s="79" t="s">
        <v>191</v>
      </c>
      <c r="C43" s="329">
        <f>C44</f>
        <v>0</v>
      </c>
      <c r="D43" s="329">
        <f t="shared" ref="D43:H43" si="19">D44</f>
        <v>0</v>
      </c>
      <c r="E43" s="329">
        <f t="shared" si="19"/>
        <v>0</v>
      </c>
      <c r="F43" s="329">
        <f t="shared" si="19"/>
        <v>1000000</v>
      </c>
      <c r="G43" s="329">
        <f t="shared" si="19"/>
        <v>0</v>
      </c>
      <c r="H43" s="329">
        <f t="shared" si="19"/>
        <v>1000000</v>
      </c>
      <c r="I43" s="330">
        <f>I44</f>
        <v>0</v>
      </c>
      <c r="J43" s="344">
        <f>J44</f>
        <v>0</v>
      </c>
      <c r="K43" s="63">
        <f t="shared" si="11"/>
        <v>0</v>
      </c>
      <c r="L43" s="331">
        <v>0</v>
      </c>
      <c r="M43" s="63">
        <f t="shared" si="3"/>
        <v>0</v>
      </c>
      <c r="N43" s="332">
        <f>H43-K43</f>
        <v>1000000</v>
      </c>
      <c r="O43" s="345">
        <f t="shared" si="17"/>
        <v>1</v>
      </c>
    </row>
    <row r="44" spans="1:17" ht="15" x14ac:dyDescent="0.25">
      <c r="A44" s="96">
        <v>2020120301</v>
      </c>
      <c r="B44" s="31" t="s">
        <v>192</v>
      </c>
      <c r="C44" s="328"/>
      <c r="D44" s="21"/>
      <c r="E44" s="22"/>
      <c r="F44" s="34">
        <v>1000000</v>
      </c>
      <c r="G44" s="61"/>
      <c r="H44" s="20">
        <f>C44-D44+E44+F44-G44</f>
        <v>1000000</v>
      </c>
      <c r="I44" s="21">
        <v>0</v>
      </c>
      <c r="J44" s="21">
        <v>0</v>
      </c>
      <c r="K44" s="20"/>
      <c r="L44" s="15"/>
      <c r="M44" s="23">
        <f t="shared" si="3"/>
        <v>0</v>
      </c>
      <c r="N44" s="333">
        <f>H44-K44</f>
        <v>1000000</v>
      </c>
      <c r="O44" s="17">
        <f t="shared" si="17"/>
        <v>1</v>
      </c>
    </row>
    <row r="45" spans="1:17" s="69" customFormat="1" ht="27.75" customHeight="1" x14ac:dyDescent="0.2">
      <c r="A45" s="63" t="s">
        <v>86</v>
      </c>
      <c r="B45" s="79" t="s">
        <v>87</v>
      </c>
      <c r="C45" s="70">
        <f>SUM(C46:C49)</f>
        <v>83777302.320260897</v>
      </c>
      <c r="D45" s="70">
        <f t="shared" ref="D45:J45" si="20">SUM(D46:D49)</f>
        <v>0</v>
      </c>
      <c r="E45" s="70">
        <f t="shared" si="20"/>
        <v>0</v>
      </c>
      <c r="F45" s="70">
        <f t="shared" si="20"/>
        <v>0</v>
      </c>
      <c r="G45" s="70">
        <f t="shared" si="20"/>
        <v>0</v>
      </c>
      <c r="H45" s="70">
        <f t="shared" si="20"/>
        <v>83777302.320260897</v>
      </c>
      <c r="I45" s="70">
        <f t="shared" si="20"/>
        <v>0</v>
      </c>
      <c r="J45" s="70">
        <f t="shared" si="20"/>
        <v>4986871</v>
      </c>
      <c r="K45" s="65">
        <f t="shared" ref="K45" si="21">K46+K47+K48+K49</f>
        <v>4986871</v>
      </c>
      <c r="L45" s="66">
        <f t="shared" si="1"/>
        <v>5.9525323230585375E-2</v>
      </c>
      <c r="M45" s="70">
        <f t="shared" si="3"/>
        <v>4986871</v>
      </c>
      <c r="N45" s="70">
        <f t="shared" ref="N45" si="22">SUM(N46:N49)</f>
        <v>78790431.320260897</v>
      </c>
      <c r="O45" s="68">
        <f t="shared" si="17"/>
        <v>0.94047467676941465</v>
      </c>
    </row>
    <row r="46" spans="1:17" ht="15" x14ac:dyDescent="0.25">
      <c r="A46" s="18" t="s">
        <v>88</v>
      </c>
      <c r="B46" s="31" t="s">
        <v>89</v>
      </c>
      <c r="C46" s="215">
        <v>13146617.570005897</v>
      </c>
      <c r="D46" s="346"/>
      <c r="E46" s="22"/>
      <c r="F46" s="34"/>
      <c r="G46" s="61"/>
      <c r="H46" s="20">
        <f>C46-D46+E46+F46-G46</f>
        <v>13146617.570005897</v>
      </c>
      <c r="I46" s="21">
        <f t="shared" si="18"/>
        <v>0</v>
      </c>
      <c r="J46" s="42">
        <v>0</v>
      </c>
      <c r="K46" s="20">
        <f t="shared" si="11"/>
        <v>0</v>
      </c>
      <c r="L46" s="15">
        <f t="shared" si="1"/>
        <v>0</v>
      </c>
      <c r="M46" s="23">
        <f t="shared" si="3"/>
        <v>0</v>
      </c>
      <c r="N46" s="24">
        <f>H46-K46</f>
        <v>13146617.570005897</v>
      </c>
      <c r="O46" s="17">
        <f t="shared" si="17"/>
        <v>1</v>
      </c>
    </row>
    <row r="47" spans="1:17" ht="15" x14ac:dyDescent="0.25">
      <c r="A47" s="18" t="s">
        <v>90</v>
      </c>
      <c r="B47" s="31" t="s">
        <v>91</v>
      </c>
      <c r="C47" s="215">
        <v>43392204</v>
      </c>
      <c r="D47" s="346"/>
      <c r="E47" s="22"/>
      <c r="F47" s="34"/>
      <c r="G47" s="61"/>
      <c r="H47" s="20">
        <f>C47-D47+E47+F47-G47</f>
        <v>43392204</v>
      </c>
      <c r="I47" s="21">
        <v>0</v>
      </c>
      <c r="J47" s="41">
        <f>'LIBRO DE PRESUPUESTO'!J412</f>
        <v>3356700</v>
      </c>
      <c r="K47" s="20">
        <f t="shared" si="11"/>
        <v>3356700</v>
      </c>
      <c r="L47" s="15">
        <f t="shared" si="1"/>
        <v>7.7357213752037121E-2</v>
      </c>
      <c r="M47" s="23">
        <f t="shared" si="3"/>
        <v>3356700</v>
      </c>
      <c r="N47" s="24">
        <f>H47-K47</f>
        <v>40035504</v>
      </c>
      <c r="O47" s="17">
        <f t="shared" si="17"/>
        <v>0.92264278624796292</v>
      </c>
      <c r="Q47" s="35"/>
    </row>
    <row r="48" spans="1:17" ht="15" x14ac:dyDescent="0.25">
      <c r="A48" s="26">
        <v>2020110304</v>
      </c>
      <c r="B48" s="31" t="s">
        <v>92</v>
      </c>
      <c r="C48" s="215">
        <v>21030768.590477761</v>
      </c>
      <c r="D48" s="346"/>
      <c r="E48" s="22"/>
      <c r="F48" s="34"/>
      <c r="G48" s="61"/>
      <c r="H48" s="20">
        <f>C48-D48+E48+F48-G48</f>
        <v>21030768.590477761</v>
      </c>
      <c r="I48" s="21">
        <v>0</v>
      </c>
      <c r="J48" s="41">
        <f>'LIBRO DE PRESUPUESTO'!J420</f>
        <v>1630171</v>
      </c>
      <c r="K48" s="20">
        <f t="shared" si="11"/>
        <v>1630171</v>
      </c>
      <c r="L48" s="15">
        <f t="shared" si="1"/>
        <v>7.7513619770325615E-2</v>
      </c>
      <c r="M48" s="23">
        <f t="shared" si="3"/>
        <v>1630171</v>
      </c>
      <c r="N48" s="24">
        <f>H48-K48</f>
        <v>19400597.590477761</v>
      </c>
      <c r="O48" s="17">
        <f t="shared" si="17"/>
        <v>0.92248638022967433</v>
      </c>
      <c r="Q48" s="35"/>
    </row>
    <row r="49" spans="1:17" ht="15" x14ac:dyDescent="0.25">
      <c r="A49" s="26">
        <v>2020110305</v>
      </c>
      <c r="B49" s="31" t="s">
        <v>93</v>
      </c>
      <c r="C49" s="215">
        <v>6207712.159777239</v>
      </c>
      <c r="D49" s="347"/>
      <c r="E49" s="22"/>
      <c r="F49" s="34"/>
      <c r="G49" s="44"/>
      <c r="H49" s="20">
        <f>C49-D49+E49+F49-G49</f>
        <v>6207712.159777239</v>
      </c>
      <c r="I49" s="21">
        <f t="shared" si="18"/>
        <v>0</v>
      </c>
      <c r="J49" s="20">
        <v>0</v>
      </c>
      <c r="K49" s="20">
        <f t="shared" si="11"/>
        <v>0</v>
      </c>
      <c r="L49" s="15">
        <f t="shared" si="1"/>
        <v>0</v>
      </c>
      <c r="M49" s="23">
        <f t="shared" si="3"/>
        <v>0</v>
      </c>
      <c r="N49" s="24">
        <f>H49-K49</f>
        <v>6207712.159777239</v>
      </c>
      <c r="O49" s="17">
        <f t="shared" si="17"/>
        <v>1</v>
      </c>
      <c r="Q49" s="35"/>
    </row>
    <row r="50" spans="1:17" s="69" customFormat="1" ht="27.75" customHeight="1" x14ac:dyDescent="0.2">
      <c r="A50" s="63">
        <v>20201104</v>
      </c>
      <c r="B50" s="80" t="s">
        <v>94</v>
      </c>
      <c r="C50" s="70">
        <f>SUM(C51:C60)</f>
        <v>127422616</v>
      </c>
      <c r="D50" s="70">
        <f t="shared" ref="D50:H50" si="23">SUM(D51:D60)</f>
        <v>0</v>
      </c>
      <c r="E50" s="70">
        <f t="shared" si="23"/>
        <v>0</v>
      </c>
      <c r="F50" s="70">
        <f t="shared" si="23"/>
        <v>0</v>
      </c>
      <c r="G50" s="70">
        <f t="shared" si="23"/>
        <v>0</v>
      </c>
      <c r="H50" s="70">
        <f t="shared" si="23"/>
        <v>127422616</v>
      </c>
      <c r="I50" s="65">
        <f>SUM(I51:I60)</f>
        <v>0</v>
      </c>
      <c r="J50" s="65">
        <f>SUM(J51:J60)</f>
        <v>7396904</v>
      </c>
      <c r="K50" s="65">
        <f t="shared" si="11"/>
        <v>7396904</v>
      </c>
      <c r="L50" s="66">
        <f t="shared" si="1"/>
        <v>5.8050165914032087E-2</v>
      </c>
      <c r="M50" s="67">
        <f t="shared" si="3"/>
        <v>7396904</v>
      </c>
      <c r="N50" s="72">
        <f>SUM(N51:N60)</f>
        <v>120025712</v>
      </c>
      <c r="O50" s="68">
        <f t="shared" si="17"/>
        <v>0.94194983408596789</v>
      </c>
      <c r="Q50" s="76"/>
    </row>
    <row r="51" spans="1:17" ht="15" x14ac:dyDescent="0.25">
      <c r="A51" s="75" t="s">
        <v>95</v>
      </c>
      <c r="B51" s="31" t="s">
        <v>96</v>
      </c>
      <c r="C51" s="215">
        <v>38584317</v>
      </c>
      <c r="D51" s="346"/>
      <c r="E51" s="22"/>
      <c r="F51" s="34"/>
      <c r="G51" s="61"/>
      <c r="H51" s="20">
        <f t="shared" ref="H51:H63" si="24">C51-D51+E51+F51-G51</f>
        <v>38584317</v>
      </c>
      <c r="I51" s="21">
        <f t="shared" si="18"/>
        <v>0</v>
      </c>
      <c r="J51" s="25">
        <v>0</v>
      </c>
      <c r="K51" s="20">
        <f t="shared" si="11"/>
        <v>0</v>
      </c>
      <c r="L51" s="15">
        <f t="shared" si="1"/>
        <v>0</v>
      </c>
      <c r="M51" s="23">
        <f t="shared" si="3"/>
        <v>0</v>
      </c>
      <c r="N51" s="24">
        <f t="shared" ref="N51:N63" si="25">H51-K51</f>
        <v>38584317</v>
      </c>
      <c r="O51" s="17">
        <f t="shared" si="17"/>
        <v>1</v>
      </c>
      <c r="Q51" s="35"/>
    </row>
    <row r="52" spans="1:17" ht="15" x14ac:dyDescent="0.25">
      <c r="A52" s="18" t="s">
        <v>97</v>
      </c>
      <c r="B52" s="31" t="s">
        <v>91</v>
      </c>
      <c r="C52" s="215">
        <v>0</v>
      </c>
      <c r="D52" s="346"/>
      <c r="E52" s="22"/>
      <c r="F52" s="34"/>
      <c r="G52" s="61"/>
      <c r="H52" s="20">
        <f t="shared" si="24"/>
        <v>0</v>
      </c>
      <c r="I52" s="21">
        <f t="shared" si="18"/>
        <v>0</v>
      </c>
      <c r="J52" s="21"/>
      <c r="K52" s="20">
        <f t="shared" si="11"/>
        <v>0</v>
      </c>
      <c r="L52" s="15">
        <v>0</v>
      </c>
      <c r="M52" s="16">
        <f t="shared" si="3"/>
        <v>0</v>
      </c>
      <c r="N52" s="24">
        <f t="shared" si="25"/>
        <v>0</v>
      </c>
      <c r="O52" s="17">
        <v>0</v>
      </c>
      <c r="Q52" s="35"/>
    </row>
    <row r="53" spans="1:17" ht="15" x14ac:dyDescent="0.25">
      <c r="A53" s="18" t="s">
        <v>98</v>
      </c>
      <c r="B53" s="31" t="s">
        <v>99</v>
      </c>
      <c r="C53" s="215">
        <v>2664792</v>
      </c>
      <c r="D53" s="346"/>
      <c r="E53" s="22"/>
      <c r="F53" s="34"/>
      <c r="G53" s="61"/>
      <c r="H53" s="20">
        <f t="shared" si="24"/>
        <v>2664792</v>
      </c>
      <c r="I53" s="21">
        <v>0</v>
      </c>
      <c r="J53" s="41">
        <f>'LIBRO DE PRESUPUESTO'!J455</f>
        <v>267200</v>
      </c>
      <c r="K53" s="20">
        <f t="shared" si="11"/>
        <v>267200</v>
      </c>
      <c r="L53" s="15">
        <f t="shared" si="1"/>
        <v>0.10027049015457867</v>
      </c>
      <c r="M53" s="23">
        <f t="shared" si="3"/>
        <v>267200</v>
      </c>
      <c r="N53" s="24">
        <f t="shared" si="25"/>
        <v>2397592</v>
      </c>
      <c r="O53" s="17">
        <f t="shared" si="17"/>
        <v>0.89972950984542133</v>
      </c>
      <c r="Q53" s="35"/>
    </row>
    <row r="54" spans="1:17" ht="15" x14ac:dyDescent="0.25">
      <c r="A54" s="18" t="s">
        <v>100</v>
      </c>
      <c r="B54" s="31" t="s">
        <v>92</v>
      </c>
      <c r="C54" s="215">
        <v>40228819</v>
      </c>
      <c r="D54" s="346"/>
      <c r="E54" s="22"/>
      <c r="F54" s="34"/>
      <c r="G54" s="61"/>
      <c r="H54" s="20">
        <f t="shared" si="24"/>
        <v>40228819</v>
      </c>
      <c r="I54" s="21">
        <v>0</v>
      </c>
      <c r="J54" s="37">
        <f>'LIBRO DE PRESUPUESTO'!J467</f>
        <v>3083004</v>
      </c>
      <c r="K54" s="20">
        <f t="shared" si="11"/>
        <v>3083004</v>
      </c>
      <c r="L54" s="15">
        <f t="shared" si="1"/>
        <v>7.6636701664048359E-2</v>
      </c>
      <c r="M54" s="23">
        <f t="shared" si="3"/>
        <v>3083004</v>
      </c>
      <c r="N54" s="24">
        <f t="shared" si="25"/>
        <v>37145815</v>
      </c>
      <c r="O54" s="17">
        <f t="shared" si="17"/>
        <v>0.92336329833595165</v>
      </c>
      <c r="Q54" s="35"/>
    </row>
    <row r="55" spans="1:17" ht="15" x14ac:dyDescent="0.25">
      <c r="A55" s="18" t="s">
        <v>101</v>
      </c>
      <c r="B55" s="31" t="s">
        <v>102</v>
      </c>
      <c r="C55" s="215">
        <v>20419860</v>
      </c>
      <c r="D55" s="346"/>
      <c r="E55" s="22"/>
      <c r="F55" s="34"/>
      <c r="G55" s="61"/>
      <c r="H55" s="20">
        <f t="shared" si="24"/>
        <v>20419860</v>
      </c>
      <c r="I55" s="21">
        <v>0</v>
      </c>
      <c r="J55" s="41">
        <f>'LIBRO DE PRESUPUESTO'!J479</f>
        <v>1797800</v>
      </c>
      <c r="K55" s="20">
        <f t="shared" si="11"/>
        <v>1797800</v>
      </c>
      <c r="L55" s="15">
        <f t="shared" si="1"/>
        <v>8.8041739757275514E-2</v>
      </c>
      <c r="M55" s="23">
        <f t="shared" si="3"/>
        <v>1797800</v>
      </c>
      <c r="N55" s="24">
        <f t="shared" si="25"/>
        <v>18622060</v>
      </c>
      <c r="O55" s="17">
        <f t="shared" si="17"/>
        <v>0.91195826024272453</v>
      </c>
      <c r="Q55" s="35"/>
    </row>
    <row r="56" spans="1:17" ht="15" x14ac:dyDescent="0.25">
      <c r="A56" s="18" t="s">
        <v>103</v>
      </c>
      <c r="B56" s="31" t="s">
        <v>104</v>
      </c>
      <c r="C56" s="215">
        <v>15314892</v>
      </c>
      <c r="D56" s="346"/>
      <c r="E56" s="22"/>
      <c r="F56" s="34"/>
      <c r="G56" s="61"/>
      <c r="H56" s="20">
        <f t="shared" si="24"/>
        <v>15314892</v>
      </c>
      <c r="I56" s="21">
        <v>0</v>
      </c>
      <c r="J56" s="41">
        <f>'LIBRO DE PRESUPUESTO'!J492</f>
        <v>1348600</v>
      </c>
      <c r="K56" s="20">
        <f t="shared" si="11"/>
        <v>1348600</v>
      </c>
      <c r="L56" s="15">
        <f t="shared" si="1"/>
        <v>8.8058080984181927E-2</v>
      </c>
      <c r="M56" s="23">
        <f t="shared" si="3"/>
        <v>1348600</v>
      </c>
      <c r="N56" s="24">
        <f t="shared" si="25"/>
        <v>13966292</v>
      </c>
      <c r="O56" s="17">
        <f t="shared" si="17"/>
        <v>0.91194191901581811</v>
      </c>
      <c r="Q56" s="35"/>
    </row>
    <row r="57" spans="1:17" ht="15" x14ac:dyDescent="0.25">
      <c r="A57" s="18" t="s">
        <v>105</v>
      </c>
      <c r="B57" s="31" t="s">
        <v>106</v>
      </c>
      <c r="C57" s="215">
        <v>2552484</v>
      </c>
      <c r="D57" s="346"/>
      <c r="E57" s="22"/>
      <c r="F57" s="34"/>
      <c r="G57" s="61"/>
      <c r="H57" s="20">
        <f t="shared" si="24"/>
        <v>2552484</v>
      </c>
      <c r="I57" s="21">
        <v>0</v>
      </c>
      <c r="J57" s="41">
        <f>'LIBRO DE PRESUPUESTO'!J508</f>
        <v>225200</v>
      </c>
      <c r="K57" s="20">
        <f t="shared" si="11"/>
        <v>225200</v>
      </c>
      <c r="L57" s="15">
        <f t="shared" si="1"/>
        <v>8.8227781251518131E-2</v>
      </c>
      <c r="M57" s="23">
        <f t="shared" si="3"/>
        <v>225200</v>
      </c>
      <c r="N57" s="24">
        <f t="shared" si="25"/>
        <v>2327284</v>
      </c>
      <c r="O57" s="17">
        <f t="shared" si="17"/>
        <v>0.91177221874848191</v>
      </c>
      <c r="Q57" s="35"/>
    </row>
    <row r="58" spans="1:17" ht="15" x14ac:dyDescent="0.25">
      <c r="A58" s="18" t="s">
        <v>107</v>
      </c>
      <c r="B58" s="31" t="s">
        <v>108</v>
      </c>
      <c r="C58" s="215">
        <v>2552484</v>
      </c>
      <c r="D58" s="346"/>
      <c r="E58" s="22"/>
      <c r="F58" s="34"/>
      <c r="G58" s="61"/>
      <c r="H58" s="20">
        <f t="shared" si="24"/>
        <v>2552484</v>
      </c>
      <c r="I58" s="21">
        <v>0</v>
      </c>
      <c r="J58" s="41">
        <f>'LIBRO DE PRESUPUESTO'!J522</f>
        <v>225200</v>
      </c>
      <c r="K58" s="20">
        <f t="shared" si="11"/>
        <v>225200</v>
      </c>
      <c r="L58" s="15">
        <f t="shared" si="1"/>
        <v>8.8227781251518131E-2</v>
      </c>
      <c r="M58" s="23">
        <f t="shared" si="3"/>
        <v>225200</v>
      </c>
      <c r="N58" s="24">
        <f t="shared" si="25"/>
        <v>2327284</v>
      </c>
      <c r="O58" s="17">
        <f t="shared" si="17"/>
        <v>0.91177221874848191</v>
      </c>
      <c r="Q58" s="35"/>
    </row>
    <row r="59" spans="1:17" ht="15" x14ac:dyDescent="0.25">
      <c r="A59" s="18" t="s">
        <v>109</v>
      </c>
      <c r="B59" s="31" t="s">
        <v>110</v>
      </c>
      <c r="C59" s="215">
        <v>5104968</v>
      </c>
      <c r="D59" s="346"/>
      <c r="E59" s="22"/>
      <c r="F59" s="34"/>
      <c r="G59" s="61"/>
      <c r="H59" s="20">
        <f t="shared" si="24"/>
        <v>5104968</v>
      </c>
      <c r="I59" s="21">
        <v>0</v>
      </c>
      <c r="J59" s="41">
        <f>'LIBRO DE PRESUPUESTO'!J541</f>
        <v>449900</v>
      </c>
      <c r="K59" s="20">
        <f t="shared" si="11"/>
        <v>449900</v>
      </c>
      <c r="L59" s="15">
        <f t="shared" si="1"/>
        <v>8.8129837444622577E-2</v>
      </c>
      <c r="M59" s="23">
        <f>J59+I59</f>
        <v>449900</v>
      </c>
      <c r="N59" s="24">
        <f t="shared" si="25"/>
        <v>4655068</v>
      </c>
      <c r="O59" s="17">
        <f t="shared" si="17"/>
        <v>0.91187016255537745</v>
      </c>
      <c r="Q59" s="35"/>
    </row>
    <row r="60" spans="1:17" ht="15" x14ac:dyDescent="0.25">
      <c r="A60" s="18" t="s">
        <v>111</v>
      </c>
      <c r="B60" s="31" t="s">
        <v>112</v>
      </c>
      <c r="C60" s="215">
        <v>0</v>
      </c>
      <c r="D60" s="346"/>
      <c r="E60" s="22"/>
      <c r="F60" s="34"/>
      <c r="G60" s="61"/>
      <c r="H60" s="20">
        <f t="shared" si="24"/>
        <v>0</v>
      </c>
      <c r="I60" s="21">
        <f t="shared" si="18"/>
        <v>0</v>
      </c>
      <c r="J60" s="21">
        <v>0</v>
      </c>
      <c r="K60" s="20">
        <f t="shared" si="11"/>
        <v>0</v>
      </c>
      <c r="L60" s="15">
        <v>0</v>
      </c>
      <c r="M60" s="16">
        <f t="shared" si="3"/>
        <v>0</v>
      </c>
      <c r="N60" s="24">
        <f t="shared" si="25"/>
        <v>0</v>
      </c>
      <c r="O60" s="17">
        <v>0</v>
      </c>
      <c r="Q60" s="35"/>
    </row>
    <row r="61" spans="1:17" ht="27" customHeight="1" x14ac:dyDescent="0.2">
      <c r="A61" s="94">
        <v>20201203</v>
      </c>
      <c r="B61" s="64" t="s">
        <v>116</v>
      </c>
      <c r="C61" s="70">
        <f>C62</f>
        <v>0</v>
      </c>
      <c r="D61" s="71">
        <f t="shared" ref="D61:G61" si="26">D62</f>
        <v>0</v>
      </c>
      <c r="E61" s="71">
        <f>E62+E63</f>
        <v>0</v>
      </c>
      <c r="F61" s="65">
        <f t="shared" si="26"/>
        <v>0</v>
      </c>
      <c r="G61" s="71">
        <f t="shared" si="26"/>
        <v>0</v>
      </c>
      <c r="H61" s="65">
        <f>SUM(H62:H63)</f>
        <v>0</v>
      </c>
      <c r="I61" s="65">
        <f t="shared" ref="I61:L61" si="27">I62</f>
        <v>0</v>
      </c>
      <c r="J61" s="65">
        <f t="shared" si="27"/>
        <v>0</v>
      </c>
      <c r="K61" s="65">
        <f t="shared" si="27"/>
        <v>0</v>
      </c>
      <c r="L61" s="66">
        <f t="shared" si="27"/>
        <v>0</v>
      </c>
      <c r="M61" s="67">
        <f>J61+I61</f>
        <v>0</v>
      </c>
      <c r="N61" s="72">
        <f>SUM(N62:N63)</f>
        <v>0</v>
      </c>
      <c r="O61" s="68">
        <v>0</v>
      </c>
      <c r="Q61" s="35"/>
    </row>
    <row r="62" spans="1:17" ht="15" x14ac:dyDescent="0.25">
      <c r="A62" s="95">
        <v>2020130101</v>
      </c>
      <c r="B62" s="87" t="s">
        <v>117</v>
      </c>
      <c r="C62" s="88">
        <v>0</v>
      </c>
      <c r="D62" s="89">
        <v>0</v>
      </c>
      <c r="E62" s="90">
        <v>0</v>
      </c>
      <c r="F62" s="91"/>
      <c r="G62" s="92"/>
      <c r="H62" s="20">
        <f t="shared" si="24"/>
        <v>0</v>
      </c>
      <c r="I62" s="89">
        <v>0</v>
      </c>
      <c r="J62" s="89">
        <v>0</v>
      </c>
      <c r="K62" s="93">
        <v>0</v>
      </c>
      <c r="L62" s="15">
        <v>0</v>
      </c>
      <c r="M62" s="23">
        <f t="shared" si="3"/>
        <v>0</v>
      </c>
      <c r="N62" s="24">
        <f t="shared" si="25"/>
        <v>0</v>
      </c>
      <c r="O62" s="17">
        <v>0</v>
      </c>
      <c r="Q62" s="35"/>
    </row>
    <row r="63" spans="1:17" ht="15" x14ac:dyDescent="0.25">
      <c r="A63" s="95">
        <v>45</v>
      </c>
      <c r="B63" s="87" t="s">
        <v>117</v>
      </c>
      <c r="C63" s="88">
        <v>0</v>
      </c>
      <c r="D63" s="89">
        <v>0</v>
      </c>
      <c r="E63" s="90"/>
      <c r="F63" s="91">
        <v>0</v>
      </c>
      <c r="G63" s="92">
        <v>0</v>
      </c>
      <c r="H63" s="20">
        <f t="shared" si="24"/>
        <v>0</v>
      </c>
      <c r="I63" s="89">
        <v>0</v>
      </c>
      <c r="J63" s="89">
        <v>0</v>
      </c>
      <c r="K63" s="93">
        <v>0</v>
      </c>
      <c r="L63" s="15">
        <v>0</v>
      </c>
      <c r="M63" s="23">
        <f t="shared" si="3"/>
        <v>0</v>
      </c>
      <c r="N63" s="24">
        <f t="shared" si="25"/>
        <v>0</v>
      </c>
      <c r="O63" s="17">
        <v>0</v>
      </c>
      <c r="Q63" s="35"/>
    </row>
    <row r="64" spans="1:17" s="77" customFormat="1" ht="31.5" customHeight="1" thickBot="1" x14ac:dyDescent="0.25">
      <c r="A64" s="78"/>
      <c r="B64" s="82" t="s">
        <v>113</v>
      </c>
      <c r="C64" s="86">
        <f>C50+C45+C43+C27+C18+C22+C8</f>
        <v>973593066.23348069</v>
      </c>
      <c r="D64" s="83">
        <f>D9+D50</f>
        <v>0</v>
      </c>
      <c r="E64" s="83">
        <f t="shared" ref="E64:J64" si="28">E8+E18+E22+E27+E43+E45+E50+E61</f>
        <v>104610765</v>
      </c>
      <c r="F64" s="83">
        <f t="shared" si="28"/>
        <v>28650007</v>
      </c>
      <c r="G64" s="83">
        <f t="shared" si="28"/>
        <v>28650007</v>
      </c>
      <c r="H64" s="83">
        <f t="shared" si="28"/>
        <v>1078203831.2334807</v>
      </c>
      <c r="I64" s="83">
        <f t="shared" si="28"/>
        <v>0</v>
      </c>
      <c r="J64" s="83">
        <f t="shared" si="28"/>
        <v>91630273</v>
      </c>
      <c r="K64" s="83">
        <f>K50+K45+K27+K22+K18+K8</f>
        <v>91630273</v>
      </c>
      <c r="L64" s="84">
        <f t="shared" si="1"/>
        <v>8.4984184201213286E-2</v>
      </c>
      <c r="M64" s="83">
        <f>M8+M18+M22+M27+M43+M45+M50+M61</f>
        <v>91630273</v>
      </c>
      <c r="N64" s="83">
        <f>N8+N18+N22+N27+N45+N43+N50+N61</f>
        <v>986573558.23348057</v>
      </c>
      <c r="O64" s="85">
        <f t="shared" si="17"/>
        <v>0.91501581579878666</v>
      </c>
    </row>
    <row r="65" spans="1:17" ht="35.25" customHeight="1" thickBot="1" x14ac:dyDescent="0.3">
      <c r="A65" s="81" t="s">
        <v>114</v>
      </c>
      <c r="B65" s="369" t="s">
        <v>115</v>
      </c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1"/>
      <c r="Q65" s="38"/>
    </row>
    <row r="66" spans="1:17" x14ac:dyDescent="0.2">
      <c r="K66" s="38"/>
    </row>
    <row r="67" spans="1:17" x14ac:dyDescent="0.2">
      <c r="D67" s="38"/>
      <c r="F67" s="38"/>
      <c r="G67" s="38"/>
      <c r="K67" s="38"/>
      <c r="N67" s="38"/>
    </row>
    <row r="68" spans="1:17" x14ac:dyDescent="0.2">
      <c r="G68" s="38"/>
      <c r="I68" s="38"/>
      <c r="J68" s="40"/>
      <c r="N68" s="38"/>
    </row>
    <row r="69" spans="1:17" x14ac:dyDescent="0.2">
      <c r="D69" s="38"/>
      <c r="J69" s="38"/>
      <c r="L69" s="38"/>
      <c r="N69" s="38"/>
    </row>
    <row r="70" spans="1:17" x14ac:dyDescent="0.2">
      <c r="H70" s="38"/>
      <c r="J70" s="38"/>
      <c r="N70" s="38"/>
    </row>
    <row r="71" spans="1:17" x14ac:dyDescent="0.2">
      <c r="J71" s="38"/>
    </row>
  </sheetData>
  <mergeCells count="5">
    <mergeCell ref="A1:O1"/>
    <mergeCell ref="A2:O2"/>
    <mergeCell ref="A3:O3"/>
    <mergeCell ref="L5:L6"/>
    <mergeCell ref="B65:O65"/>
  </mergeCells>
  <printOptions horizontalCentered="1" verticalCentered="1"/>
  <pageMargins left="0.23622047244094491" right="0.23622047244094491" top="0.39370078740157483" bottom="0.98425196850393704" header="0" footer="0"/>
  <pageSetup paperSize="258" scale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PAC INICIAL 2018</vt:lpstr>
      <vt:lpstr>LIBRO DE PRESUPUESTO</vt:lpstr>
      <vt:lpstr>MARZO</vt:lpstr>
      <vt:lpstr>FEBRERO</vt:lpstr>
      <vt:lpstr>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DIRECCIÓN ADMINISTRATIVA Y FINANCIERA</cp:lastModifiedBy>
  <cp:lastPrinted>2018-04-10T17:05:46Z</cp:lastPrinted>
  <dcterms:created xsi:type="dcterms:W3CDTF">2017-04-04T19:21:33Z</dcterms:created>
  <dcterms:modified xsi:type="dcterms:W3CDTF">2018-05-16T13:32:41Z</dcterms:modified>
</cp:coreProperties>
</file>